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9" i="1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U139"/>
  <c r="V138"/>
  <c r="U138"/>
  <c r="V137"/>
  <c r="U137"/>
  <c r="V136"/>
  <c r="U136"/>
  <c r="V135"/>
  <c r="U135"/>
  <c r="V134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<sst xmlns="http://schemas.openxmlformats.org/spreadsheetml/2006/main" count="4430" uniqueCount="2012">
  <si>
    <t>ИНФРА-М Научно-издательский Центр</t>
  </si>
  <si>
    <t>01. Архитектура и строительство (для учебных заведений и библиотек)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</si>
  <si>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</si>
  <si>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</si>
  <si>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</si>
  <si>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</si>
  <si>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</si>
  <si>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</si>
  <si>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</si>
  <si>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</si>
  <si>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</si>
  <si>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</si>
  <si>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</si>
  <si>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</si>
  <si>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</si>
  <si>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</si>
  <si>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</si>
  <si>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</si>
  <si>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</si>
  <si>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</si>
  <si>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</si>
  <si>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</si>
  <si>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</si>
  <si>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</si>
  <si>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</si>
  <si>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</si>
  <si>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</si>
  <si>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</si>
  <si>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</si>
  <si>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</si>
  <si>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</si>
  <si>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</si>
  <si>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</si>
  <si>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415900.09.01</t>
  </si>
  <si>
    <t>Автоматизация и роботизация строит.: Уч.пос. /С.И.Евтушенко -2 изд. -М:ИЦ РИОР:НИЦ ИНФРА-М,2023-452с(ВО) (п)</t>
  </si>
  <si>
    <t>АВТОМАТИЗАЦИЯ И РОБОТИЗАЦИЯ СТРОИТЕЛЬСТВА, ИЗД.2</t>
  </si>
  <si>
    <t>Евтушенко С. И., Булгаков А. Г., Воробьев В. А., Паршин Д. Я.</t>
  </si>
  <si>
    <t>Переплет 7БЦ</t>
  </si>
  <si>
    <t>ИЦ РИОР</t>
  </si>
  <si>
    <t>Высшее образование: Бакалавриат</t>
  </si>
  <si>
    <t>978-5-369-01109-6</t>
  </si>
  <si>
    <t>ПРИКЛАДНЫЕ НАУКИ. ТЕХНИКА. МЕДИЦИНА</t>
  </si>
  <si>
    <t>Строительство</t>
  </si>
  <si>
    <t>Учебное пособие</t>
  </si>
  <si>
    <t>Профессиональное образование / ВО - Бакалавриат</t>
  </si>
  <si>
    <t>08.03.01, 08.04.01, 15.03.04, 15.04.04, 27.03.04</t>
  </si>
  <si>
    <t>Допущено Учебно-методическим объединением вузов по образованию в области транспортных машин и транспортно-технических комплексов для бакалавриата и мэгистриата техники и технологии направления 550200 ^Автоматизация и управление» и для подготовки дипл</t>
  </si>
  <si>
    <t>Южно-Российский государственный политехнический университет (НПИ) им. М.И. Платова</t>
  </si>
  <si>
    <t>0213</t>
  </si>
  <si>
    <t>487900.06.01</t>
  </si>
  <si>
    <t>Автоматизация расчетов сооруж. гидротех. строит.: Уч.пос. / В.А.Волосухин -М.:ИЦ РИОР, НИЦ ИНФРА-М,2024-241с(О)</t>
  </si>
  <si>
    <t>АВТОМАТИЗАЦИЯ РАСЧЕТОВ СООРУЖЕНИЙ ГИДРОТЕХНИЧЕКОГО СТРОИТЕЛЬСТВА</t>
  </si>
  <si>
    <t>Волосухин В.А., Евтушенко С.И., Петров И.А. и др.</t>
  </si>
  <si>
    <t>Обложка. КБС</t>
  </si>
  <si>
    <t>Высшее образование</t>
  </si>
  <si>
    <t>978-5-369-01563-6</t>
  </si>
  <si>
    <t>Профессиональное образование</t>
  </si>
  <si>
    <t>07.03.01, 08.02.01, 08.03.01, 08.05.01, 20.03.02</t>
  </si>
  <si>
    <t>Рекомендовано УМО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</si>
  <si>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ДА</t>
  </si>
  <si>
    <t>Донской государственный аграрный университет</t>
  </si>
  <si>
    <t>0117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</si>
  <si>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</si>
  <si>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</si>
  <si>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</si>
  <si>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</si>
  <si>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Переплет 7БЦ/Без шитья</t>
  </si>
  <si>
    <t>НИЦ ИНФРА-М</t>
  </si>
  <si>
    <t>Среднее профессиональное образование</t>
  </si>
  <si>
    <t>978-5-16-009369-7</t>
  </si>
  <si>
    <t>Учебник</t>
  </si>
  <si>
    <t>Профессиональное образование / Среднее профессиональное образование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</si>
  <si>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</si>
  <si>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</si>
  <si>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</si>
  <si>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</si>
  <si>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</si>
  <si>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</si>
  <si>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</si>
  <si>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</si>
  <si>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</si>
  <si>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</si>
  <si>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</si>
  <si>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</si>
  <si>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</si>
  <si>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</si>
  <si>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</si>
  <si>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</si>
  <si>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</si>
  <si>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</si>
  <si>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</si>
  <si>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665997.03.01</t>
  </si>
  <si>
    <t>Актуальные пробл. и методология строит. науки: Уч.пос. / Федоров В.В. - М.:НИЦ ИНФРА-М,2024. - 262 с.(П)</t>
  </si>
  <si>
    <t>АКТУАЛЬНЫЕ ПРОБЛЕМЫ И МЕТОДОЛОГИЯ СТРОИТЕЛЬНОЙ НАУКИ</t>
  </si>
  <si>
    <t>Федоров В.В., Субботин С.Л., Баркая Т.Р. и др.</t>
  </si>
  <si>
    <t>Высшее образование: Магистратура</t>
  </si>
  <si>
    <t>978-5-16-014586-0</t>
  </si>
  <si>
    <t>Профессиональное образование / ВО - Магистратура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</si>
  <si>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</si>
  <si>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13 от 16.09.2019)</t>
  </si>
  <si>
    <t>Тверской государственный технический университет</t>
  </si>
  <si>
    <t>0120</t>
  </si>
  <si>
    <t>759045.01.01</t>
  </si>
  <si>
    <t>Алтарные преграды храмов Центр. Рос...: Моногр. / Т.В.Лазарева-М.:НИЦ ИНФРА-М,2023.-244 с.(П)</t>
  </si>
  <si>
    <t>АЛТАРНЫЕ ПРЕГРАДЫ ХРАМОВ ЦЕНТРАЛЬНОЙ РОССИИ НОВОГО ВРЕМЕНИ (НА ПРИМЕРЕ ПРИОКСКОГО РЕГИОНА)</t>
  </si>
  <si>
    <t>Лазарева Т.В.</t>
  </si>
  <si>
    <t>Научная мысль</t>
  </si>
  <si>
    <t>978-5-16-018008-3</t>
  </si>
  <si>
    <t>ГУМАНИТАРНЫЕ НАУКИ. РЕЛИГИЯ. ИСКУССТВО</t>
  </si>
  <si>
    <t>Искусство</t>
  </si>
  <si>
    <t>Монография</t>
  </si>
  <si>
    <t>Дополнительное образование / Дополнительное профессиональное образование</t>
  </si>
  <si>
    <t>07.04.01, 07.04.02, 07.06.01, 07.09.02</t>
  </si>
  <si>
    <t>Орловский государственный институт культуры</t>
  </si>
  <si>
    <t>Июль, 2023</t>
  </si>
  <si>
    <t>0123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</si>
  <si>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</si>
  <si>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</si>
  <si>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</si>
  <si>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</si>
  <si>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</si>
  <si>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ОБЩЕСТВЕННЫЕ НАУКИ.  ЭКОНОМИКА. ПРАВО</t>
  </si>
  <si>
    <t>Экономика. Бухгалтерский учет. Финансы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</si>
  <si>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</si>
  <si>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</si>
  <si>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</si>
  <si>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0119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</si>
  <si>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</si>
  <si>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</si>
  <si>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</si>
  <si>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</si>
  <si>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</si>
  <si>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32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</si>
  <si>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</si>
  <si>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</si>
  <si>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</si>
  <si>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</si>
  <si>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</si>
  <si>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</si>
  <si>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</si>
  <si>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-</t>
  </si>
  <si>
    <t>0210</t>
  </si>
  <si>
    <t>682920.07.01</t>
  </si>
  <si>
    <t>Архитектура общественных простр.: Моногр. / А.Л.Гельфонд - М.:НИЦ ИНФРА-М,2024 - 412 с.(Науч.мысль)(П)</t>
  </si>
  <si>
    <t>АРХИТЕКТУРА ОБЩЕСТВЕННЫХ ПРОСТРАНСТВ</t>
  </si>
  <si>
    <t>Гельфонд А.Л.</t>
  </si>
  <si>
    <t>978-5-16-014070-4</t>
  </si>
  <si>
    <t>07.03.01, 07.04.01</t>
  </si>
  <si>
    <t>Нижегородский государственный архитектурно-строительный университет</t>
  </si>
  <si>
    <t>335000.05.01</t>
  </si>
  <si>
    <t>Архитектурная климатография: Уч.пос. / М.С.Мягков - М.:НИЦ ИНФРА-М,2022-363 с.(ВО: Бакалавриат)(П)</t>
  </si>
  <si>
    <t>АРХИТЕКТУРНАЯ КЛИМАТОГРАФИЯ</t>
  </si>
  <si>
    <t>Мягков М.С., Алексеева Л.И.</t>
  </si>
  <si>
    <t>978-5-16-011855-0</t>
  </si>
  <si>
    <t>07.03.01, 07.03.02, 07.03.03, 07.04.01, 07.04.02</t>
  </si>
  <si>
    <t>Допущено УМО по образованию в области архитектуры в качестве учебного пособия для студентов вузов, обучающихся по направлению 07.03.01 «Архитектура»</t>
  </si>
  <si>
    <t>Московский архитектурный институт (государственная академия)</t>
  </si>
  <si>
    <t>0116</t>
  </si>
  <si>
    <t>340500.10.01</t>
  </si>
  <si>
    <t>Архитектурное проектир. обществ. зданий: Уч. / А.Л.Гельфонд, - 2 изд.-М.:НИЦ ИНФРА-М,2023.-373 с.(ВО)(п)</t>
  </si>
  <si>
    <t>АРХИТЕКТУРНОЕ ПРОЕКТИРОВАНИЕ ОБЩЕСТВЕННЫХ ЗДАНИЙ, ИЗД.2</t>
  </si>
  <si>
    <t>978-5-16-018400-5</t>
  </si>
  <si>
    <t>Рекомендовано Федеральным учебно-методическим объединением в системе высшего образования по укрупненной группе направлений «Архитектура» в качестве учебника для обучающихся по основным образовательным программам высшего образования</t>
  </si>
  <si>
    <t>0223</t>
  </si>
  <si>
    <t>340500.06.01</t>
  </si>
  <si>
    <t>Архитектурное проектирование общественных зданий: Уч. / А.Л.Гельфонд-М.:НИЦ ИНФРА-М,2023-368с(ВО)(П)</t>
  </si>
  <si>
    <t>АРХИТЕКТУРНОЕ ПРОЕКТИРОВАНИЕ ОБЩЕСТВЕННЫХ ЗДАНИЙ</t>
  </si>
  <si>
    <t>978-5-16-010739-4</t>
  </si>
  <si>
    <t>Допущено УМО по образованию в области архитектуры в качестве учебника для студентов вузов, обучающихся по направлению подготовки 07.04.01 «Архитектура» (квалификация (степень) «магистр»)</t>
  </si>
  <si>
    <t>343900.07.01</t>
  </si>
  <si>
    <t>Архитектурное проектирование...: Уч.пос. /Д.Б.Веретенников - М.:Форум, НИЦ ИНФРА-М,2024-176 с.-(О)</t>
  </si>
  <si>
    <t>АРХИТЕКТУРНОЕ ПРОЕКТИРОВАНИЕ. ПОДЗЕМНАЯ УРБАНИСТИКА</t>
  </si>
  <si>
    <t>Веретенников Д.Б.</t>
  </si>
  <si>
    <t>Форум</t>
  </si>
  <si>
    <t>978-5-00091-055-9</t>
  </si>
  <si>
    <t>07.03.01, 07.04.01, 07.04.04</t>
  </si>
  <si>
    <t>Самарский государственный технический университет</t>
  </si>
  <si>
    <t>0115</t>
  </si>
  <si>
    <t>655225.04.01</t>
  </si>
  <si>
    <t>Архитектурно-компаратив. аспект правосл.монаст.Балкан. стран и Рос./ С.В.Ильвицкая-2изд.-М.:НИЦ ИНФРА-М,2023-257с</t>
  </si>
  <si>
    <t>АРХИТЕКТУРНО-КОМПАРАТИВНЫЙ АСПЕКТ ПРАВОСЛАВНЫХ МОНАСТЫРЕЙ БАЛКАНСКИХ СТРАН И РОССИИ, ИЗД.2</t>
  </si>
  <si>
    <t>Ильвицкая С.В.</t>
  </si>
  <si>
    <t>978-5-16-015512-8</t>
  </si>
  <si>
    <t>07.04.01, 07.04.02</t>
  </si>
  <si>
    <t>Государственный университет по землеустройству</t>
  </si>
  <si>
    <t>0220</t>
  </si>
  <si>
    <t>655225.02.01</t>
  </si>
  <si>
    <t>Архитектурно-компаративный аспект правосл.монаст.Балканских стран и России:Моногр./ С.В.Ильвицкая-М.:НИЦ ИНФРА-М,2018-99с</t>
  </si>
  <si>
    <t>АРХИТЕКТУРНО-КОМПАРАТИВНЫЙ АСПЕКТ ПРАВОСЛАВНЫХ МОНАСТЫРЕЙ БАЛКАНСКИХ СТРАН И РОССИИ</t>
  </si>
  <si>
    <t>978-5-16-012757-6</t>
  </si>
  <si>
    <t>0118</t>
  </si>
  <si>
    <t>446500.10.01</t>
  </si>
  <si>
    <t>Архитектурные конструкции и теор. конструир..: Уч.пос. / Е.В.Сысоева - М:НИЦ ИНФРА-М,2023-280с(ВО:Бак.)(П)</t>
  </si>
  <si>
    <t>АРХИТЕКТУРНЫЕ КОНСТРУКЦИИ И ТЕОРИЯ КОНСТРУИРОВАНИЯ:  МАЛОЭТАЖНЫЕ ЖИЛЫЕ ЗДАНИЯ</t>
  </si>
  <si>
    <t>Сысоева Е.В., Трушин С.И., Коновалов В.П. и др.</t>
  </si>
  <si>
    <t>978-5-16-011400-2</t>
  </si>
  <si>
    <t>07.03.01, 08.03.01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</si>
  <si>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07.03.01 «Архитектура», 08.03.01 «Строительство» (квалификация (степень) «бакалавр»)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</si>
  <si>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</si>
  <si>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</si>
  <si>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</si>
  <si>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</si>
  <si>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</si>
  <si>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</si>
  <si>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693813.04.01</t>
  </si>
  <si>
    <t>Архитектурные конструкции и теория конструир.: Уч.пос. / Е.В.Сысоева - 2 изд.-М.:НИЦ ИНФРА-М,2023-280с.(П)</t>
  </si>
  <si>
    <t>АРХИТЕКТУРНЫЕ КОНСТРУКЦИИ И ТЕОРИЯ КОНСТРУИРОВАНИЯ:  МАЛОЭТАЖНЫЕ ЖИЛЫЕ ЗДАНИЯ, ИЗД.2</t>
  </si>
  <si>
    <t>Высшее образование: Специалитет</t>
  </si>
  <si>
    <t>978-5-16-014471-9</t>
  </si>
  <si>
    <t>Профессиональное образование / ВО - Специалитет</t>
  </si>
  <si>
    <t>07.03.01, 08.02.01, 08.03.01</t>
  </si>
  <si>
    <t>Допущено УМО по образованию в области архитектуры в качестве учебного пособия для студентов вузов, обучающихся по направлениям подготовки «Архитектура», «Строительство»</t>
  </si>
  <si>
    <t>35</t>
  </si>
  <si>
    <t>0219</t>
  </si>
  <si>
    <t>446500.11.01</t>
  </si>
  <si>
    <t>Архитектурные конструкции и теория...: Уч.пос. / Е.В.Сысоева - 2 изд.-М.:НИЦ ИНФРА-М,2023.-258 с.(ВО: Бак.)(п)</t>
  </si>
  <si>
    <t>АРХИТЕКТУРНЫЕ КОНСТРУКЦИИ И ТЕОРИЯ КОНСТРУИРОВАНИЯ: МАЛОЭТАЖНЫЕ ЖИЛЫЕ ЗДАНИЯ, ИЗД.2</t>
  </si>
  <si>
    <t>Сысоева Е.В., Трушин С.И., Коновалов В.П.</t>
  </si>
  <si>
    <t>978-5-16-018203-2</t>
  </si>
  <si>
    <t>243800.07.01</t>
  </si>
  <si>
    <t>Бесшовные мосты: Уч. пос. / Б.А.Дробышевский - М.: ИЦ РИОР:  НИЦ ИНФРА-М, 2022-154с.(ВО: Бакалавриат) (п)</t>
  </si>
  <si>
    <t>БЕСШОВНЫЕ МОСТЫ</t>
  </si>
  <si>
    <t>Дробышевский Б. А.</t>
  </si>
  <si>
    <t>978-5-369-01294-9</t>
  </si>
  <si>
    <t>08.03.01, 08.04.01, 23.05.06</t>
  </si>
  <si>
    <t>Рекомендовано УМС Государственной академии повышения квалификации и переподготовки кадров для строительства и жилищно-коммунального комплекса для студентов вузов и специалистов транспортного строительства</t>
  </si>
  <si>
    <t>Центральный научно-исследовательский институт экономики, информатики и систем управления</t>
  </si>
  <si>
    <t>0114</t>
  </si>
  <si>
    <t>675204.04.01</t>
  </si>
  <si>
    <t>Биологическая очистка сточных вод: Уч.пос. / Б.С.Ксенофонтов - М.:НИЦ ИНФРА-М,2024-255с-(ВО)(п)</t>
  </si>
  <si>
    <t>БИОЛОГИЧЕСКАЯ ОЧИСТКА СТОЧНЫХ ВОД</t>
  </si>
  <si>
    <t>Ксенофонтов Б.С.</t>
  </si>
  <si>
    <t>978-5-16-019032-7</t>
  </si>
  <si>
    <t>20.03.01, 20.03.02, 20.04.01, 20.04.02, 20.06.01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</si>
  <si>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20.00.00 «Техносферная безопасность и природообустройство» (квалификация (степень) «бакалавр») (протокол № 8 от 22.06.2020)</t>
  </si>
  <si>
    <t>Московский государственный технический университет им. Н.Э. Баумана</t>
  </si>
  <si>
    <t>0121</t>
  </si>
  <si>
    <t>738198.04.01</t>
  </si>
  <si>
    <t>Введение в профессию "архитектор": Уч. / Н.Э.Оселко - М.:НИЦ ИНФРА-М,2024 - 229 с.(ВО)(п)</t>
  </si>
  <si>
    <t>ВВЕДЕНИЕ В ПРОФЕССИЮ "АРХИТЕКТОР"</t>
  </si>
  <si>
    <t>Оселко Н.Э.</t>
  </si>
  <si>
    <t>978-5-16-019523-0</t>
  </si>
  <si>
    <t>07.03.01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</si>
  <si>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07.03.01 «Архитектура» (квалификация (степень) «бакалавр») (протокол № 8 от 20.10.2021)</t>
  </si>
  <si>
    <t>0122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</si>
  <si>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</si>
  <si>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</si>
  <si>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</si>
  <si>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</si>
  <si>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</si>
  <si>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</si>
  <si>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</si>
  <si>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0107</t>
  </si>
  <si>
    <t>297200.09.01</t>
  </si>
  <si>
    <t>Водоснабжение: Уч. / В.А.Орлов - М.:НИЦ ИНФРА-М,2023 - 443 с.-(ВО: Бакалавриат)(П)</t>
  </si>
  <si>
    <t>ВОДОСНАБЖЕНИЕ</t>
  </si>
  <si>
    <t>Орлов В.А., Квитка Л.А.</t>
  </si>
  <si>
    <t>978-5-16-010620-5</t>
  </si>
  <si>
    <t>08.03.01, 08.04.01</t>
  </si>
  <si>
    <t>Рекомендовано Учебно-методическим объединением вузов РФ по образованию в области строительства в качестве учебника для студентов высших учебных заведений, обучающихся по программе бакалавриата по направлению подготовки 08.03.01 «Строительство» (профиль «Водоснабжение и водоотведение»)</t>
  </si>
  <si>
    <t>682846.03.01</t>
  </si>
  <si>
    <t>Водоснабжение: Уч. / В.А.Орлов - М.:НИЦ ИНФРА-М,2023 - 443 с.-(СПО)(П)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</si>
  <si>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</si>
  <si>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</si>
  <si>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</si>
  <si>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</si>
  <si>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</si>
  <si>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</si>
  <si>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</si>
  <si>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</si>
  <si>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</si>
  <si>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Российский государственный аграрный университет - МСХА им. К.А. Тимирязева</t>
  </si>
  <si>
    <t>635938.05.01</t>
  </si>
  <si>
    <t>Водохозяйственные сис. и водопользование: Уч. / А.М.Бакштанин - М.:НИЦ ИНФРА-М,2022 - 452 с.-(ВО: Бакалавр.)(П)</t>
  </si>
  <si>
    <t>ВОДОХОЗЯЙСТВЕННЫЕ СИСТЕМЫ И ВОДОПОЛЬЗОВАНИЕ</t>
  </si>
  <si>
    <t>Бакштанин А.М., Беглярова Э.С., Бубер А.Л. и др.</t>
  </si>
  <si>
    <t>978-5-16-014286-9</t>
  </si>
  <si>
    <t>20.03.02</t>
  </si>
  <si>
    <t>Рекомендовано Научно-методическим советом по природообустройству и водопользованию Федерального учебно-методического отдела по УГСН 20.00.00 «Техносферная безопасность и природообустройство» в качестве учебника по дисциплине «Водохозяйственные системы и водопользование», а также для направлений подготовки 20.03.02 и 20.04.02  «Природообустройство и водопользование»</t>
  </si>
  <si>
    <t>405750.15.01</t>
  </si>
  <si>
    <t>Возведение зданий и сооруж. с прим. монолит.бет..: Уч.пос. / О.Э.Дружинина - М.:КУРС,НИЦ ИНФРА-М,2023-128с.</t>
  </si>
  <si>
    <t>ВОЗВЕДЕНИЕ ЗДАНИЙ И СООРУЖЕНИЙ С ПРИМЕНЕНИЕМ МОНОЛИТНОГО БЕТОНА И ЖЕЛЕЗОБЕТОНА: ТЕХНОЛОГИИ УСТОЙЧИВОГО РАЗВИТИЯ</t>
  </si>
  <si>
    <t>Дружинина О. Э., Муштаева Н. Е.</t>
  </si>
  <si>
    <t>КУРС</t>
  </si>
  <si>
    <t>Строительные технологии для архитекторов</t>
  </si>
  <si>
    <t>978-5-905554-26-1</t>
  </si>
  <si>
    <t>07.03.01, 07.03.04, 07.04.01, 07.04.04, 08.02.01, 08.03.01, 08.04.01</t>
  </si>
  <si>
    <t>Допущено УМО по образованию в области архитектуры в качестве учебного пособия для студентов вузов обучающихся по направлению Архитектура</t>
  </si>
  <si>
    <t>Информационно-технологический центр Москомархитектуры</t>
  </si>
  <si>
    <t>0113</t>
  </si>
  <si>
    <t>352700.09.01</t>
  </si>
  <si>
    <t>Восстановление и усиление железобетон...: Уч.мет.пос. / М.В.Яковлева-М.:Форум, НИЦ ИНФРА-М,2024-191 с.(ВО)(П)</t>
  </si>
  <si>
    <t>ВОССТАНОВЛЕНИЕ И УСИЛЕНИЕ ЖЕЛЕЗОБЕТОННЫХ И КАМЕННЫХ КОНСТРУКЦИЙ</t>
  </si>
  <si>
    <t>Яковлева М.В., Коткова О.Н., Широков В.С.</t>
  </si>
  <si>
    <t>978-5-00091-795-4</t>
  </si>
  <si>
    <t>Учебно-методическое пособие</t>
  </si>
  <si>
    <t>08.03.01, 08.04.01, 08.05.01, 08.05.02, 08.05.03</t>
  </si>
  <si>
    <t>Рекомендовано Государственным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«Строительство» по профилю подготовки «Городское строительство»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</si>
  <si>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</si>
  <si>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</si>
  <si>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</si>
  <si>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</si>
  <si>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</si>
  <si>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</si>
  <si>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</si>
  <si>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</si>
  <si>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</si>
  <si>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</si>
  <si>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</si>
  <si>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</si>
  <si>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</si>
  <si>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</si>
  <si>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646098.10.01</t>
  </si>
  <si>
    <t>Геодезия: Уч. / Ю.А.Кравченко - М.:НИЦ ИНФРА-М,2022 - 344 с.-(ВО: Бакалавриат)(П)</t>
  </si>
  <si>
    <t>ГЕОДЕЗИЯ</t>
  </si>
  <si>
    <t>Кравченко Ю.А.</t>
  </si>
  <si>
    <t>978-5-16-012662-3</t>
  </si>
  <si>
    <t>08.03.01, 21.03.03, 21.04.03, 21.05.01, 21.05.02</t>
  </si>
  <si>
    <t>Рекомендовано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</t>
  </si>
  <si>
    <t>Новосибирский государственный архитектурно-строительный университет (Сибстрин)</t>
  </si>
  <si>
    <t>682853.08.01</t>
  </si>
  <si>
    <t>Геодезия: Уч. / Ю.А.Кравченко - М.:НИЦ ИНФРА-М,2024 - 344 с.-(СПО)(П)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</si>
  <si>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</si>
  <si>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</si>
  <si>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</si>
  <si>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637315.08.01</t>
  </si>
  <si>
    <t>Герметизация, гидроизол. и теплоизол. в строит...: Уч.пос./О.А.Лукинский-М.:НИЦ ИНФРА-М,2024-668с.(п)</t>
  </si>
  <si>
    <t>ГЕРМЕТИЗАЦИЯ, ГИДРОИЗОЛЯЦИЯ И ТЕПЛОИЗОЛЯЦИЯ В СТРОИТЕЛЬСТВЕ, РЕМОНТЕ И РЕСТАВРАЦИИ ЗДАНИЙ И СООРУЖЕНИЙ</t>
  </si>
  <si>
    <t>Лукинский О.А.</t>
  </si>
  <si>
    <t>978-5-16-019888-0</t>
  </si>
  <si>
    <t>08.03.01</t>
  </si>
  <si>
    <t>Рекомендовано в качестве учебного пособия для повышения квалификации инженеров ремонтно-строительного производства, работников сферы ЖКХ, студентов высших учебных заведений</t>
  </si>
  <si>
    <t>Национальный исследовательский университет "Высшая школа экономики"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</si>
  <si>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</si>
  <si>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</si>
  <si>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</si>
  <si>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</si>
  <si>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</si>
  <si>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</si>
  <si>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</si>
  <si>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0108</t>
  </si>
  <si>
    <t>444750.03.01</t>
  </si>
  <si>
    <t>Гидротехнические сооружения внутрихоз. / С.Г.Белогай - ИЦ РИОР,НИЦ ИНФРА-М,2022-321с.(Научная мысль)</t>
  </si>
  <si>
    <t>ГИДРОТЕХНИЧЕСКИЕ СООРУЖЕНИЯ ВНУТРИХОЗЯЙСТВЕННОЙ МЕЛИОРАТИВНОЙ СЕТИ</t>
  </si>
  <si>
    <t>Белогай С.Г., Волосухин В.А., Тищенко А.И.</t>
  </si>
  <si>
    <t>978-5-369-01230-7</t>
  </si>
  <si>
    <t>05.03.04, 05.04.04, 06.03.02, 06.04.02, 08.03.01, 08.04.01, 20.03.02, 35.03.01, 35.03.03, 35.03.06, 35.03.08, 35.04.06, 35.04.07</t>
  </si>
  <si>
    <t>Ростстройсервис</t>
  </si>
  <si>
    <t>309300.07.01</t>
  </si>
  <si>
    <t>Гидротехнические сооружения: Уч. / М.В.Нестеров - 2 изд. - ИНФРА-М; Мн.: Нов. знание, 2024-601с.(ВО)</t>
  </si>
  <si>
    <t>ГИДРОТЕХНИЧЕСКИЕ СООРУЖЕНИЯ, ИЗД.2</t>
  </si>
  <si>
    <t>Нестеров М.В.</t>
  </si>
  <si>
    <t>978-5-16-010306-8</t>
  </si>
  <si>
    <t>08.03.01, 08.04.01, 35.03.08</t>
  </si>
  <si>
    <t>0215</t>
  </si>
  <si>
    <t>790083.02.01</t>
  </si>
  <si>
    <t>Гипсовые материалы для фасадных систем: Моногр. / И.В.Бессонов-М.:НИЦ ИНФРА-М,2023.-164 с.(о)</t>
  </si>
  <si>
    <t>ГИПСОВЫЕ МАТЕРИАЛЫ ДЛЯ ФАСАДНЫХ СИСТЕМ</t>
  </si>
  <si>
    <t>Бессонов И.В.</t>
  </si>
  <si>
    <t>978-5-16-018097-7</t>
  </si>
  <si>
    <t>08.00.00, 08.04.01, 08.05.01, 08.06.01, 20.06.01, 20.07.01</t>
  </si>
  <si>
    <t>НИИ строительной физики Российской Академии архитектуры и строительных наук</t>
  </si>
  <si>
    <t>235500.10.01</t>
  </si>
  <si>
    <t>Градостроительство. Теория и прак.: Уч. пос. / Г.А.Потаев - М.: Форум:  НИЦ ИНФРА-М, 2023-432, [32]с.:цв.ил.(ВО) (П)</t>
  </si>
  <si>
    <t>ГРАДОСТРОИТЕЛЬСТВО. ТЕОРИЯ И ПРАКТИКА</t>
  </si>
  <si>
    <t>Потаев Г. А.</t>
  </si>
  <si>
    <t>978-5-91134-808-3</t>
  </si>
  <si>
    <t>07.03.01, 07.03.04</t>
  </si>
  <si>
    <t>Рекомендовано в качестве учебного пособия для студентов высших учебных заведений,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</t>
  </si>
  <si>
    <t>Белорусский национальный технический университет</t>
  </si>
  <si>
    <t>235500.08.01</t>
  </si>
  <si>
    <t>Градостроительство: Уч.пос. / Г.А.Потаев, - 2 изд.-М.:НИЦ ИНФРА-М,2024.-478, [32] с.:цв.ил.(ВО)(п)</t>
  </si>
  <si>
    <t>ГРАДОСТРОИТЕЛЬСТВО, ИЗД.2</t>
  </si>
  <si>
    <t>Потаев Г.А.</t>
  </si>
  <si>
    <t>978-5-16-016730-5</t>
  </si>
  <si>
    <t>Рекомендовано в качестве учебного пособия для студентов, обучающихся по специальностям «Градостроительство», «Архитектура», «Городское строительство», «Городское и региональное планирование», «Государственное и муниципальное управление»</t>
  </si>
  <si>
    <t>Ноябрь, 2023</t>
  </si>
  <si>
    <t>0224</t>
  </si>
  <si>
    <t>801606.01.01</t>
  </si>
  <si>
    <t>Долговечность конструкцион. бетона при морозных...: Моногр../В.В.Малюк-М.:НИЦ ИНФРА-М,2023.-226 с.(о)</t>
  </si>
  <si>
    <t>ДОЛГОВЕЧНОСТЬ КОНСТРУКЦИОННОГО БЕТОНА ПРИ МОРОЗНЫХ И СОЛЕВЫХ  ВОЗДЕЙСТВИЯХ: МОНИТОРИНГ, ИСПЫТАНИЯ, РЕКОМЕНДАЦИИ</t>
  </si>
  <si>
    <t>Малюк В.В., Малюк В.Д., Леонович С.Н.</t>
  </si>
  <si>
    <t>978-5-16-018625-2</t>
  </si>
  <si>
    <t>Сахалинский государственный университет</t>
  </si>
  <si>
    <t>Октябрь, 2023</t>
  </si>
  <si>
    <t>750224.01.01</t>
  </si>
  <si>
    <t>Долговечность портовых железобетонных конструкций: Моногр. / С.Н.Леонович-М.:НИЦ ИНФРА-М,2022.-315 с.(О)</t>
  </si>
  <si>
    <t>ДОЛГОВЕЧНОСТЬ ПОРТОВЫХ ЖЕЛЕЗОБЕТОННЫХ КОНСТРУКЦИЙ (ДАЛЬНИЙ ВОСТОК И САХАЛИН)</t>
  </si>
  <si>
    <t>Леонович С.Н., Шалый Е.Е., Полонина Е.Н. и др.</t>
  </si>
  <si>
    <t>978-5-16-017154-8</t>
  </si>
  <si>
    <t>08.03.01, 08.04.01, 08.05.01, 08.06.01</t>
  </si>
  <si>
    <t>434650.10.01</t>
  </si>
  <si>
    <t>Дорожное грунтоведение и механика...: Уч.пос. / Ю.Г.Бабаскин-М.:НИЦ ИНФРА-М, Нов.знание,2023-462с(П)</t>
  </si>
  <si>
    <t>ДОРОЖНОЕ ГРУНТОВЕДЕНИЕ И МЕХАНИКА ЗЕМЛЯНОГО ПОЛОТНА</t>
  </si>
  <si>
    <t>Бабаскин Ю. Г.</t>
  </si>
  <si>
    <t>978-5-16-006694-3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</si>
  <si>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«Автомобильные дороги», «Мосты, транспортные тоннели и метрополитены»</t>
  </si>
  <si>
    <t>430300.14.01</t>
  </si>
  <si>
    <t>Дорожно-строительные матер. и изделия: Уч.мет.пос. / Я.Н.Ковалев - М.:НИЦ ИНФРА-М,2024 - 630 с.(ВО)(П)</t>
  </si>
  <si>
    <t>ДОРОЖНО-СТРОИТЕЛЬНЫЕ МАТЕРИАЛЫ И ИЗДЕЛИЯ</t>
  </si>
  <si>
    <t>Ковалев Я.Н., Кравченко С.Е., Шумчик В.К.</t>
  </si>
  <si>
    <t>978-5-16-006403-1</t>
  </si>
  <si>
    <t>08.02.02, 08.02.04, 08.02.12, 08.03.01, 08.04.01, 23.02.08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</si>
  <si>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специальности 1-70 03 01 «Автомобильные дороги»</t>
  </si>
  <si>
    <t>286600.07.01</t>
  </si>
  <si>
    <t>Дорожные переходы через водотоки: Уч.пос. / Г.А.Федотов - М.:НИЦ ИНФРА-М,2024 - 520 с.(ВО)(П)</t>
  </si>
  <si>
    <t>ДОРОЖНЫЕ ПЕРЕХОДЫ ЧЕРЕЗ ВОДОТОКИ</t>
  </si>
  <si>
    <t>Федотов Г. А., Наумов Г. Г.</t>
  </si>
  <si>
    <t>978-5-16-006074-3</t>
  </si>
  <si>
    <t>Допущено Учебно-методическим объединением вузов Российской Федерации по автотранспортному и дорожному образованию в качестве учебного пособия для студентов вузов, обучающихся по направлениям обучения 08.03.01 «Строительство» и специальностям «Автомобильные дороги и аэродромы», «Мосты и транспортные тоннели»</t>
  </si>
  <si>
    <t>Московский автомобильно-дорожный государственный технический университет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</si>
  <si>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</si>
  <si>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</si>
  <si>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</si>
  <si>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</si>
  <si>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</si>
  <si>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</si>
  <si>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</si>
  <si>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</si>
  <si>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</si>
  <si>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</si>
  <si>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</si>
  <si>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</si>
  <si>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315000.07.01</t>
  </si>
  <si>
    <t>Землетрясения. Причины, последст. и обесп.безоп.: Уч.пос. /А.Д.Потапов -М.:НИЦ ИНФРА-М,2024-343с(ВО)</t>
  </si>
  <si>
    <t>ЗЕМЛЕТРЯСЕНИЯ. ПРИЧИНЫ, ПОСЛЕДСТВИЯ И ОБЕСПЕЧЕНИЕ БЕЗОПАСНОСТИ</t>
  </si>
  <si>
    <t>Потапов А.Д., Ревелис И.Л., Чернышев С.Н. и др.</t>
  </si>
  <si>
    <t>978-5-16-011844-4</t>
  </si>
  <si>
    <t>05.03.01, 08.03.01, 20.03.01, 21.05.02, 21.05.03</t>
  </si>
  <si>
    <t>Рекомендовано в качестве учебного пособия для студентов высших учебных заведений, обучающихся по направлениям подготовки 08.03.01 «Строительство», 20.03.01 «Техносферная безопасность» (квалификация (степень) «бакалавр»)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</si>
  <si>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</si>
  <si>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</si>
  <si>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</si>
  <si>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</si>
  <si>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</si>
  <si>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</si>
  <si>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</si>
  <si>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</si>
  <si>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</si>
  <si>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</si>
  <si>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</si>
  <si>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</si>
  <si>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08.05.03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</si>
  <si>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</si>
  <si>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311600.10.01</t>
  </si>
  <si>
    <t>Инженерная геодезия: Уч. / Г.А.Федотов - 6 изд. - М.:НИЦ ИНФРА-М,2024 - 479 с.(ВО: Специалитет)(П)</t>
  </si>
  <si>
    <t>ИНЖЕНЕРНАЯ ГЕОДЕЗИЯ, ИЗД.6</t>
  </si>
  <si>
    <t>Федотов Г.А.</t>
  </si>
  <si>
    <t>978-5-16-013110-8</t>
  </si>
  <si>
    <t>08.02.01, 08.03.01, 08.04.01, 21.02.10, 35.02.12</t>
  </si>
  <si>
    <t>Рекомендовано УМО вузов Российской Федерации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специальности «Автомобильные дороги и аэродромы» направления подготовки «Транспортное строительство»</t>
  </si>
  <si>
    <t>0616</t>
  </si>
  <si>
    <t>654481.05.01</t>
  </si>
  <si>
    <t>Инженерные конструкции. Железобет...: Уч. / Т.К.Ксенофонтова и др. - М.:НИЦ ИНФРА-М,2023 - 386 с.(ВО)(п)</t>
  </si>
  <si>
    <t>ИНЖЕНЕРНЫЕ КОНСТРУКЦИИ. ЖЕЛЕЗОБЕТОННЫЕ И КАМЕННЫЕ КОНСТРУКЦИИ</t>
  </si>
  <si>
    <t>Ксенофонтова Т.К., Чумичева М.М., Ксенофонтова Т.К.</t>
  </si>
  <si>
    <t>978-5-16-018525-5</t>
  </si>
  <si>
    <t>08.03.01, 08.05.01, 08.05.02, 08.05.03, 20.03.01, 20.03.02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</si>
  <si>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08.03.01 «Строительство», 20.03.01 «Техносферная безопасность», 20.03.02 «Природообустройство и водопользование» (квалификация (степень) «бакалавр») (протокол № 11 от 10.06.2019)</t>
  </si>
  <si>
    <t>642185.05.01</t>
  </si>
  <si>
    <t>Инженерные конструкции. Метал.конструкции....: Уч. / Ю.М.Дукарский - 4 изд.-М.:НИЦ ИНФРА-М,2024-262с(ВО)(п)</t>
  </si>
  <si>
    <t>ИНЖЕНЕРНЫЕ КОНСТРУКЦИИ. МЕТАЛЛИЧЕСКИЕ КОНСТРУКЦИИ И КОНСТРУКЦИИ ИЗ ДРЕВЕСИНЫ И ПЛАСТМАСС, ИЗД.4</t>
  </si>
  <si>
    <t>Дукарский Ю.М., Расс Ф.В., Мареева О.В.</t>
  </si>
  <si>
    <t>978-5-16-019216-1</t>
  </si>
  <si>
    <t>08.01.05, 08.01.24, 08.03.01, 20.03.02</t>
  </si>
  <si>
    <t>Рекомендовано в качестве учебника для студентов высших учебных заведений, обучающихся по направлениям подготовки 08.03.01 «Строительство», 20.03.02 «Природообустройство и водопользование» (квалификация (степень) «бакалавр»)</t>
  </si>
  <si>
    <t>0418</t>
  </si>
  <si>
    <t>753865.03.01</t>
  </si>
  <si>
    <t>Искусство ландшафтной архитектуры и дизайна: Уч.пос. / Г.А.Потаев-М.:НИЦ ИНФРА-М,2023.-429 с.(ВО)(П)</t>
  </si>
  <si>
    <t>ИСКУССТВО ЛАНДШАФТНОЙ АРХИТЕКТУРЫ И ДИЗАЙНА</t>
  </si>
  <si>
    <t>978-5-16-016896-8</t>
  </si>
  <si>
    <t>05.03.02, 05.04.02, 07.03.01, 07.03.02, 07.03.04, 07.04.01, 35.03.10, 35.04.03, 35.04.09, 54.05.05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</si>
  <si>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35.03.10 «Ландшафтная архитектура», 07.03.03 «Дизайн архитектурной среды», 54.03.01 «Дизайн» (квалификация (степень) «бакалавр») (протокол № 1 от 12.01.2022)</t>
  </si>
  <si>
    <t>727992.01.01</t>
  </si>
  <si>
    <t>Исследование процесса забивки свай и штампов на моделях / И.И.Бекбасаров, - 2 изд.-М.:НИЦ ИНФРА-М,2021.-195 с..-(О)</t>
  </si>
  <si>
    <t>ИССЛЕДОВАНИЕ ПРОЦЕССА ЗАБИВКИ СВАЙ И ШТАМПОВ НА МОДЕЛЯХ, ИЗД.2</t>
  </si>
  <si>
    <t>Бекбасаров И.И.</t>
  </si>
  <si>
    <t>978-5-16-015990-4</t>
  </si>
  <si>
    <t>08.03.01, 08.04.01, 08.06.01</t>
  </si>
  <si>
    <t>Таразский государственный университет им. М.Х. Дулати</t>
  </si>
  <si>
    <t>0221</t>
  </si>
  <si>
    <t>656364.02.01</t>
  </si>
  <si>
    <t>История архитектуры мировых конфессий: Уч. / С.В.Ильвицкая - М.:НИЦ ИНФРА-М,2024 - 206 с.(ВО)(п)</t>
  </si>
  <si>
    <t>ИСТОРИЯ АРХИТЕКТУРЫ МИРОВЫХ КОНФЕССИЙ</t>
  </si>
  <si>
    <t>978-5-16-016963-7</t>
  </si>
  <si>
    <t>0124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</si>
  <si>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</si>
  <si>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</si>
  <si>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</si>
  <si>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</si>
  <si>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</si>
  <si>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</si>
  <si>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</si>
  <si>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</si>
  <si>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309900.03.01</t>
  </si>
  <si>
    <t>Каменные работы: Уч.метод.пос. / В.Н.Черноиван - М.:НИЦ ИНФРА-М, Новое знание,2023 - 156 с.-(ВО)(п)</t>
  </si>
  <si>
    <t>КАМЕННЫЕ РАБОТЫ</t>
  </si>
  <si>
    <t>Черноиван В.Н., Леонович С.Н.</t>
  </si>
  <si>
    <t>978-5-16-010310-5</t>
  </si>
  <si>
    <t>Брестский государственный технический университет</t>
  </si>
  <si>
    <t>814594.01.01</t>
  </si>
  <si>
    <t>Комбинированная техника в экобиотехн. и эколог. технологиях: Моногр. / Б.С.Ксенофонтов-М.:ИНФРА-М,2024-193с.(п)</t>
  </si>
  <si>
    <t>КОМБИНИРОВАННАЯ ТЕХНИКА В ЭКОБИОТЕХНОЛОГИЧЕСКИХ И ЭКОЛОГИЧЕСКИХ ТЕХНОЛОГИЯХ</t>
  </si>
  <si>
    <t>978-5-16-019245-1</t>
  </si>
  <si>
    <t>20.04.01, 20.06.01</t>
  </si>
  <si>
    <t>Декабрь, 2023</t>
  </si>
  <si>
    <t>304600.07.01</t>
  </si>
  <si>
    <t>Композиция в архитектуре и градостроит.: Уч. пос./Г.А.Потаев - Форум: ИНФРА-М, 2024. - 304 с.(ВО)(п)</t>
  </si>
  <si>
    <t>КОМПОЗИЦИЯ В АРХИТЕКТУРЕ И ГРАДОСТРОИТЕЛЬСТВЕ</t>
  </si>
  <si>
    <t>978-5-91134-966-0</t>
  </si>
  <si>
    <t>07.03.01, 07.03.03, 07.03.04, 07.04.01, 07.04.03, 07.04.04, 35.03.10, 35.04.09</t>
  </si>
  <si>
    <t>682953.05.01</t>
  </si>
  <si>
    <t>Композиция в архитектуре и градостроительстве: Уч.пос. / Г.А.Потаев - М.:Форум, НИЦ ИНФРА-М,2023-304 с.(СПО)(П)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</si>
  <si>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</si>
  <si>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</si>
  <si>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240300.08.01</t>
  </si>
  <si>
    <t>Конструкции деревянных зданий: Уч. / В.И.Запруднов-М.:НИЦ ИНФРА-М,2023.-304 с.(ВО: Бакалавр.)(П)</t>
  </si>
  <si>
    <t>КОНСТРУКЦИИ ДЕРЕВЯННЫХ ЗДАНИЙ</t>
  </si>
  <si>
    <t>Запруднов В. И., Стриженко В. В.</t>
  </si>
  <si>
    <t>978-5-16-009229-4</t>
  </si>
  <si>
    <t>35.03.02, 35.04.02</t>
  </si>
  <si>
    <t>Допущено УМО по образованию в области лесного дела в качестве учебника для студентов вузов, обучающихся по направлению подготовки бакалавров и магистров 250400 «Технология лесозаготовительных и деревоперерабатывающих производств»</t>
  </si>
  <si>
    <t>Московский государственный технический университет им. Н.Э. Баумана, Мытищинский ф-л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</si>
  <si>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</si>
  <si>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</si>
  <si>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</si>
  <si>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</si>
  <si>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</si>
  <si>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</si>
  <si>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</si>
  <si>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</si>
  <si>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0109</t>
  </si>
  <si>
    <t>348200.14.01</t>
  </si>
  <si>
    <t>Конструкции малоэтажных зданий: Уч.пос. / Л.А.Мунчак - 2 изд. - М.:КУРС, НИЦ ИНФРА-М,2023-464с.(П)</t>
  </si>
  <si>
    <t>КОНСТРУКЦИИ МАЛОЭТАЖНЫХ ЗДАНИЙ, ИЗД.2</t>
  </si>
  <si>
    <t>Мунчак Л.А.</t>
  </si>
  <si>
    <t>978-5-906818-84-3</t>
  </si>
  <si>
    <t>0217</t>
  </si>
  <si>
    <t>797807.01.01</t>
  </si>
  <si>
    <t>Конструкционный бетон с комплекс. доб. гидротерм. нанокремнезема..: Моногр. / С.Н.Леонович-М.:НИЦ ИНФРА-М,2023-242с.(о)</t>
  </si>
  <si>
    <t>КОНСТРУКЦИОННЫЙ БЕТОН С КОМПЛЕКСНОЙ ДОБАВКОЙ ГИДРОТЕРМАЛЬНОГО НАНОКРЕМНЕЗЕМА И УГЛЕРОДНЫХ НАНОТРУБОК</t>
  </si>
  <si>
    <t>Полонина Е.Н., Леонович С.Н.</t>
  </si>
  <si>
    <t>978-5-16-018340-4</t>
  </si>
  <si>
    <t>08.03.01, 08.05.01, 08.06.01, 20.03.01, 21.03.02, 23.03.02, 23.05.06, 27.03.02</t>
  </si>
  <si>
    <t>Июнь, 2023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</si>
  <si>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</si>
  <si>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</si>
  <si>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</si>
  <si>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</si>
  <si>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</si>
  <si>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</si>
  <si>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</si>
  <si>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</si>
  <si>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420650.08.01</t>
  </si>
  <si>
    <t>Крыши и кровли гражданских и произв. зданий: Уч.пос. / Н.А.Бузало-М.:РИОР, ИНФРА-М,2024-152 с.(ВО: Бак.)(п)</t>
  </si>
  <si>
    <t>КРЫШИ И КРОВЛИ ГРАЖДАНСКИХ И ПРОИЗВОДСТВЕННЫХ ЗДАНИЙ</t>
  </si>
  <si>
    <t>Бузало Н. А., Платонова И. Д., Царитова Н. Г.</t>
  </si>
  <si>
    <t>978-5-369-01175-1</t>
  </si>
  <si>
    <t>Рекомендуется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(МГСУ) в качестве учебного пособия для студентов ВПО, обучающихся по программе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</si>
  <si>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</si>
  <si>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</si>
  <si>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</si>
  <si>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</si>
  <si>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35.02.12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</si>
  <si>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</si>
  <si>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137550.12.01</t>
  </si>
  <si>
    <t>Ландшафтная архитектура с осн.проектир.: Уч.пос./В.С.Теодоронский-2изд.-Форум,НИЦ ИНФРА-М,2022-304с.</t>
  </si>
  <si>
    <t>ЛАНДШАФТНАЯ АРХИТЕКТУРА С ОСНОВАМИ ПРОЕКТИРОВАНИЯ, ИЗД.2</t>
  </si>
  <si>
    <t>Теодоронский В.С., Боговая И.О.</t>
  </si>
  <si>
    <t>978-5-00091-463-2</t>
  </si>
  <si>
    <t>35.03.10, 35.04.09</t>
  </si>
  <si>
    <t>Рекомендовано в качестве учебного пособия для студентов высших учебных заведений, обучающихся по направлению подготовки «Ландшафтная архитектура» (35.03.10 — бакалавриат и 35.04.09 — магистратура)</t>
  </si>
  <si>
    <t>0216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</si>
  <si>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</si>
  <si>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</si>
  <si>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</si>
  <si>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</si>
  <si>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</si>
  <si>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</si>
  <si>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</si>
  <si>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</si>
  <si>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0324</t>
  </si>
  <si>
    <t>137550.15.01</t>
  </si>
  <si>
    <t>Ландшафтная архитектура: теор.и прак.: Уч.пос. / В.С.Теодоронский - 3 изд.-М.:НИЦ ИНФРА-М,2024-389 с.(ВО)(п)</t>
  </si>
  <si>
    <t>ЛАНДШАФТНАЯ АРХИТЕКТУРА: ТЕОРИЯ И ПРАКТИКА, ИЗД.3</t>
  </si>
  <si>
    <t>Теодоронский В.С., Боговая И.О., Теодоронский В.С.</t>
  </si>
  <si>
    <t>978-5-16-019986-3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</si>
  <si>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6 от 16.06.2021)</t>
  </si>
  <si>
    <t>0322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</si>
  <si>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</si>
  <si>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</si>
  <si>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</si>
  <si>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</si>
  <si>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</si>
  <si>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ПО2</t>
  </si>
  <si>
    <t>180600.12.01</t>
  </si>
  <si>
    <t>Ландшафтное проектирование: Уч.пос. / Ю.В.Разумовский-2 изд.-М.:НИЦ ИНФРА-М,2024-140с. [16]с.(ВО)(п)</t>
  </si>
  <si>
    <t>978-5-16-018549-1</t>
  </si>
  <si>
    <t>Рекомендовано Учебно-методическим объединением по образованию в области лесного дела в качестве учебного пособия для студентов вузов, обучающихся по направлению подготовки «Ландшафтная архитектура»</t>
  </si>
  <si>
    <t>692615.06.01</t>
  </si>
  <si>
    <t>Малые мосты: Монография / Б.А.Дробышевский - М.:НИЦ ИНФРА-М,2023 - 228 с.(Науч.мысль)(О)</t>
  </si>
  <si>
    <t>МАЛЫЕ МОСТЫ</t>
  </si>
  <si>
    <t>Дробышевский Б.А.</t>
  </si>
  <si>
    <t>978-5-16-014556-3</t>
  </si>
  <si>
    <t>08.03.01, 08.04.01, 08.05.02, 08.06.01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</si>
  <si>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</si>
  <si>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</si>
  <si>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</si>
  <si>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</si>
  <si>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</si>
  <si>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</si>
  <si>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</si>
  <si>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</si>
  <si>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</si>
  <si>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</si>
  <si>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Бизнес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</si>
  <si>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</si>
  <si>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</si>
  <si>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</si>
  <si>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</si>
  <si>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</si>
  <si>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</si>
  <si>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</si>
  <si>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</si>
  <si>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</si>
  <si>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Московский политехнический университет</t>
  </si>
  <si>
    <t>335500.06.01</t>
  </si>
  <si>
    <t>Методы подбора состава модифицированных бетонов: Уч.пос. / Б.А.Усов - М.:НИЦ ИНФРА-М,2024-162с.(ВО)(О)</t>
  </si>
  <si>
    <t>МЕТОДЫ ПОДБОРА СОСТАВА МОДИФИЦИРОВАННЫХ БЕТОНОВ</t>
  </si>
  <si>
    <t>Усов Б.А.</t>
  </si>
  <si>
    <t>978-5-16-010674-8</t>
  </si>
  <si>
    <t>Рекомендовано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</si>
  <si>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269300.04.01</t>
  </si>
  <si>
    <t>Методы расчета пылеулавливающих систем: Уч. пос. / М.И.Шиляев - Форум: ИНФРА-М, 2022. - 320 с.(ВО) (о)</t>
  </si>
  <si>
    <t>МЕТОДЫ РАСЧЕТА ПЫЛЕУЛАВЛИВАЮЩИХ СИСТЕМ</t>
  </si>
  <si>
    <t>Шиляев М.И.</t>
  </si>
  <si>
    <t>978-5-91134-861-8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</si>
  <si>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 высших учебных заведений, обучающихся по направлению 270800 «Строительство»</t>
  </si>
  <si>
    <t>Томский государственный архитектурно-строительный университет</t>
  </si>
  <si>
    <t>694844.08.01</t>
  </si>
  <si>
    <t>Методы расчёта строит. конструкций: теория...: Уч. пос./ Б.А.Тухфатуллин-М.:НИЦ ИНФРА-М,2024-124с(О)</t>
  </si>
  <si>
    <t>МЕТОДЫ РАСЧЁТА СТРОИТЕЛЬНЫХ КОНСТРУКЦИЙ: ТЕОРИЯ И ЗАДАЧИ С РЕАЛИЗАЦИЕЙ В ПРОГРАММНОМ КОМПЛЕКСЕ SCILAB</t>
  </si>
  <si>
    <t>Тухфатуллин Б.А., Черняк А.М.</t>
  </si>
  <si>
    <t>978-5-16-014735-2</t>
  </si>
  <si>
    <t>Рекомендовано Учебно-методическим советом ВО в качестве учебного пособия для студентов высших учебных заведений, обучающихся по укрупненной группе специальностей 08.00.00 «Техника и технологии строительства»</t>
  </si>
  <si>
    <t>473500.07.01</t>
  </si>
  <si>
    <t>Механика грунтов: Уч.пос. / А.З.Абуханов - 2 изд.-М.: НИЦ ИНФРА-М, 2024- 336с.-(ВО) (п)</t>
  </si>
  <si>
    <t>МЕХАНИКА ГРУНТОВ, ИЗД.2</t>
  </si>
  <si>
    <t>Абуханов А.З.</t>
  </si>
  <si>
    <t>978-5-16-018833-1</t>
  </si>
  <si>
    <t>08.03.01, 08.04.01, 20.03.02, 20.04.02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</si>
  <si>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направлению подготовки 20.03.02 «Природообустройство и водопользование» (квалификация (степень) «бакалавр»)</t>
  </si>
  <si>
    <t>Грозненский государственный нефтяной технический университет им. академика М.Д. Миллионщикова</t>
  </si>
  <si>
    <t>297000.07.01</t>
  </si>
  <si>
    <t>Механика разрушения для строителей: Уч.пос. / Ю.В.Зайцев. - 2 изд.-М.:НИЦ ИНФРА-М,2023.-216с(ВО)(п)</t>
  </si>
  <si>
    <t>МЕХАНИКА РАЗРУШЕНИЯ ДЛЯ СТРОИТЕЛЕЙ, ИЗД.2</t>
  </si>
  <si>
    <t>Зайцев Ю.В., Окольникова Г.Э., Доркин В.В.</t>
  </si>
  <si>
    <t>978-5-16-019222-2</t>
  </si>
  <si>
    <t>08.02.01, 08.02.03, 08.03.01</t>
  </si>
  <si>
    <t>Рекомендовано УМО Московского государственного открытого университета в качестве учебного пособия для студентов вузов по направлению подготовки 07.03.01 «Архитектура» для дистанционных образовательных технологий открытого образования (квалификация (степень) «бакалавр»)</t>
  </si>
  <si>
    <t>Еврейский университет</t>
  </si>
  <si>
    <t>688741.07.01</t>
  </si>
  <si>
    <t>Модели поведения бетона. Общая теория деград.: Моногр. / А.А.Варламов - М.:НИЦ ИНФРА-М,2022-436с(П)</t>
  </si>
  <si>
    <t>МОДЕЛИ ПОВЕДЕНИЯ БЕТОНА. ОБЩАЯ ТЕОРИЯ ДЕГРАДАЦИИ</t>
  </si>
  <si>
    <t>Варламов А.А., Римшин В.И.</t>
  </si>
  <si>
    <t>978-5-16-014615-7</t>
  </si>
  <si>
    <t>08.03.01, 08.04.01, 08.05.01, 08.05.02</t>
  </si>
  <si>
    <t>Рекомендовано научно-исследовательским институтом строительной физики Российской академии архитектуры и строительных наук для студентов инженерно-строительных факультетов, получающих образование по направлению подготовки 08.03.01 «Строительство»</t>
  </si>
  <si>
    <t>Магнитогорский государственный технический университет им. Г.И. Носова</t>
  </si>
  <si>
    <t>688741.10.01</t>
  </si>
  <si>
    <t>Модели поведения бетона. Общая теория деградации: Моногр. / В.И.Римшин -2 изд.-М.:НИЦ ИНФРА-М,2023-439с.(П)</t>
  </si>
  <si>
    <t>МОДЕЛИ ПОВЕДЕНИЯ БЕТОНА. ОБЩАЯ ТЕОРИЯ ДЕГРАДАЦИИ, ИЗД.2</t>
  </si>
  <si>
    <t>Римшин В.И., Варламов А.А.</t>
  </si>
  <si>
    <t>978-5-16-017441-9</t>
  </si>
  <si>
    <t>0222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</si>
  <si>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</si>
  <si>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</si>
  <si>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</si>
  <si>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978-5-16-019493-6</t>
  </si>
  <si>
    <t>Март, 2024</t>
  </si>
  <si>
    <t>684701.02.01</t>
  </si>
  <si>
    <t>Модель системы расселения будущего: Уч.пос. / Ю.И.Пацкевич-М.:НИЦ ИНФРА-М,2023.-188 с.(ВО: Бакалавр.)(П)</t>
  </si>
  <si>
    <t>МОДЕЛЬ СИСТЕМЫ РАССЕЛЕНИЯ БУДУЩЕГО</t>
  </si>
  <si>
    <t>Пацкевич Ю.И., Пацкевич А.В.</t>
  </si>
  <si>
    <t>978-5-16-014679-9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</si>
  <si>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07.03.01 «Архитектура» (квалификация (степень) «бакалавр») (протокол № 6 от 16.06.2021)</t>
  </si>
  <si>
    <t>433700.02.01</t>
  </si>
  <si>
    <t>Модифицированные сульфатированные клинкер..:Уч. пос./С.И.Иващенко-М.:Форум, НИЦ ИНФРА-М,2018-192с(О)</t>
  </si>
  <si>
    <t>МОДИФИЦИРОВАННЫЕ СУЛЬФАТИРОВАННЫЕ КЛИНКЕРЫ И ЦЕМЕНТЫ НА ИХ ОСНОВЕ</t>
  </si>
  <si>
    <t>Иващенко С.И., Иващенко С.С., Фатиев М.М. и др.</t>
  </si>
  <si>
    <t>978-5-00091-129-7</t>
  </si>
  <si>
    <t>Российский университет дружбы народов имени Патриса Лумумбы</t>
  </si>
  <si>
    <t>715711.04.01</t>
  </si>
  <si>
    <t>Мониторинг возводимых и эксплуатируемых зданий: Моногр./С.Н.Леонович -М.:НИЦ ИНФРА-М,2024-286с.(О)</t>
  </si>
  <si>
    <t>МОНИТОРИНГ ВОЗВОДИМЫХ И ЭКСПЛУАТИРУЕМЫХ ЗДАНИЙ</t>
  </si>
  <si>
    <t>Леонович С.Н., Снежков Д.Ю., Доркин В.В.</t>
  </si>
  <si>
    <t>978-5-16-015529-6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</si>
  <si>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</si>
  <si>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</si>
  <si>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</si>
  <si>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</si>
  <si>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</si>
  <si>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Дополнительное образование / Дополнительное профессиональное образование / ДПО - повышение квалификации</t>
  </si>
  <si>
    <t>08.03.01, 08.04.01, 08.05.03, 08.06.01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</si>
  <si>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</si>
  <si>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</si>
  <si>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</si>
  <si>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</si>
  <si>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</si>
  <si>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</si>
  <si>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0112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</si>
  <si>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</si>
  <si>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</si>
  <si>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</si>
  <si>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</si>
  <si>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</si>
  <si>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</si>
  <si>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307900.05.01</t>
  </si>
  <si>
    <t>Монтаж строительных конструкций: Уч.-метод. пос./В.Н.Черноиван - ИНФРА-М;Нов. знание, 2024-200с.(ВО)</t>
  </si>
  <si>
    <t>МОНТАЖ СТРОИТЕЛЬНЫХ КОНСТРУКЦИЙ</t>
  </si>
  <si>
    <t>978-5-16-010294-8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</si>
  <si>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</si>
  <si>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</si>
  <si>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</si>
  <si>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</si>
  <si>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</si>
  <si>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</si>
  <si>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</si>
  <si>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348700.07.01</t>
  </si>
  <si>
    <t>Небольшое здание с простейшей простран.структ.: Уч.пос./Л.А.Красилова-КУРС,НИЦ ИНФРА-М,2023-170с.(о)</t>
  </si>
  <si>
    <t>НЕБОЛЬШОЕ ЗДАНИЕ С ПРОСТЕЙШЕЙ ПРОСТРАНСТВЕННОЙ СТРУКТУРОЙ (ГОСТЕВОЙ ДОМИК ЕГЕРЯ, ПОГРАНИЧНЫЙ ФОРПОСТ, СПАСАТЕЛЬНАЯ СТАНЦИЯ, КРЕСТИЛЬНЫЙ ХРАМ)</t>
  </si>
  <si>
    <t>Красилова Л.А.</t>
  </si>
  <si>
    <t>978-5-905554-89-6</t>
  </si>
  <si>
    <t>07.03.01, 07.03.02, 07.03.03, 07.03.04, 07.04.01, 07.04.02, 07.04.03, 07.04.04, 07.06.01, 07.07.01, 07.09.01, 07.09.03, 08.03.01, 08.04.01, 08.05.01, 08.06.01</t>
  </si>
  <si>
    <t>744340.01.01</t>
  </si>
  <si>
    <t>Нелинейные задачи строительной механики...: Уч.пос. / Б.А.Тухфатуллин-М.:НИЦ ИНФРА-М,2021.-106 с.(П)</t>
  </si>
  <si>
    <t>НЕЛИНЕЙНЫЕ ЗАДАЧИ СТРОИТЕЛЬНОЙ МЕХАНИКИ. МЕТОДЫ ОПТИМАЛЬНОГО ПРОЕКТИРОВАНИЯ КОНСТРУКЦИЙ</t>
  </si>
  <si>
    <t>Тухфатуллин Б.А.</t>
  </si>
  <si>
    <t>978-5-16-016633-9</t>
  </si>
  <si>
    <t>08.03.01, 08.04.01, 08.05.01</t>
  </si>
  <si>
    <t>399700.09.01</t>
  </si>
  <si>
    <t>Обеспыливание воздуха в промыш.: методы и средства:Моногр./В.Т.Самсонов-М.:НИЦ ИНФРА-М,2023.-234с(О)</t>
  </si>
  <si>
    <t>ОБЕСПЫЛИВАНИЕ ВОЗДУХА В ПРОМЫШЛЕННОСТИ: МЕТОДЫ И СРЕДСТВА</t>
  </si>
  <si>
    <t>Самсонов В.Т.</t>
  </si>
  <si>
    <t>978-5-16-011283-1</t>
  </si>
  <si>
    <t>08.02.13, 08.03.01, 08.04.01, 08.05.01, 18.03.01</t>
  </si>
  <si>
    <t>Всероссийский научно-исследовательский институт труда</t>
  </si>
  <si>
    <t>800923.01.01</t>
  </si>
  <si>
    <t>Обобщенные мод. флотации и разраб. флото-, эко- и..: Моногр. /Б.С.Ксенофонтов-М.: ИНФРА-М,2023.-224с.(П)</t>
  </si>
  <si>
    <t>ОБОБЩЕННЫЕ МОДЕЛИ ФЛОТАЦИИ И РАЗРАБОТКА ФЛОТО-, ЭКО- И ЦИКЛОКОМБАЙНОВ ТИПА КБС НА ОСНОВЕ ПРИНЦИПОВ БИОПОДОБИЯ</t>
  </si>
  <si>
    <t>978-5-16-018341-1</t>
  </si>
  <si>
    <t>18.03.02, 20.03.01, 20.03.02, 20.04.02, 20.06.01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</si>
  <si>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</si>
  <si>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</si>
  <si>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</si>
  <si>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</si>
  <si>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</si>
  <si>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</si>
  <si>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</si>
  <si>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</si>
  <si>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</si>
  <si>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</si>
  <si>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</si>
  <si>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</si>
  <si>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</si>
  <si>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</si>
  <si>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328100.09.01</t>
  </si>
  <si>
    <t>Обследование техн. сост. зданий и сооружений: Уч.пос./М.В.Яковлева-Форум: НИЦ ИНФРА-М,2024-159с.(ВО)</t>
  </si>
  <si>
    <t>978-5-00091-468-7</t>
  </si>
  <si>
    <t>Рекомендовано государственным образовательным учреждением высшего образования «Московский государственный строительный университет» (МГСУ) в качестве учебного пособия для студентов высших учебных заведений, обучающихся по направлению подготовки 08.03.01 «Строительство» по профилю подготовки «Городское строительство»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</si>
  <si>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</si>
  <si>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</si>
  <si>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</si>
  <si>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</si>
  <si>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</si>
  <si>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</si>
  <si>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</si>
  <si>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</si>
  <si>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0104</t>
  </si>
  <si>
    <t>668809.02.01</t>
  </si>
  <si>
    <t>Ограждающие и несущие строит.констр.из стальных...: Моногр./ Л.В.Енджиевский-М.:НИЦ ИНФРА-М, СФУ,2023-282с</t>
  </si>
  <si>
    <t>ОГРАЖДАЮЩИЕ И НЕСУЩИЕ СТРОИТЕЛЬНЫЕ КОНСТРУКЦИИ ИЗ СТАЛЬНЫХ ТОНКОСТЕННЫХ ПРОФИЛЕЙ</t>
  </si>
  <si>
    <t>Енджиевский Л.В., Крылов И.И., Кретинин А.Н. и др.</t>
  </si>
  <si>
    <t>Научная мысль (СФУ)</t>
  </si>
  <si>
    <t>978-5-16-018107-3</t>
  </si>
  <si>
    <t>08.03.01, 08.04.01, 08.05.01, 08.05.03</t>
  </si>
  <si>
    <t>Сибирский федеральный университет</t>
  </si>
  <si>
    <t>416500.06.01</t>
  </si>
  <si>
    <t>Опалубки из лесоматериалов: Уч.-мет. пос./В.А.Волосухин - 2 изд. - РИОР: ИНФРА-М, 2023-172с.(ВО) (п)</t>
  </si>
  <si>
    <t>ОПАЛУБКИ ИЗ ЛЕСОМАТЕРИАЛОВ, ИЗД.2</t>
  </si>
  <si>
    <t>Волосухин В.А., Евтушенко С.И., Садэтов Т.С.</t>
  </si>
  <si>
    <t>978-5-369-01110-2</t>
  </si>
  <si>
    <t>269200.08.01</t>
  </si>
  <si>
    <t>Опоры мостов сборно-монолитной констр.: Уч.пос. /Б.А.Дробышевский-М.:ИЦ РИОР, НИЦ ИНФРА-М,2024-109 с.(П)</t>
  </si>
  <si>
    <t>ОПОРЫ МОСТОВ СБОРНО-МОНОЛИТНОЙ КОНСТРУКЦИИ</t>
  </si>
  <si>
    <t>978-5-369-01334-2</t>
  </si>
  <si>
    <t>08.05.03, 23.05.06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</si>
  <si>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</si>
  <si>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</si>
  <si>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</si>
  <si>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</si>
  <si>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</si>
  <si>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</si>
  <si>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</si>
  <si>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</si>
  <si>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</si>
  <si>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</si>
  <si>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</si>
  <si>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</si>
  <si>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</si>
  <si>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</si>
  <si>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</si>
  <si>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</si>
  <si>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</si>
  <si>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</si>
  <si>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</si>
  <si>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</si>
  <si>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</si>
  <si>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</si>
  <si>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</si>
  <si>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</si>
  <si>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</si>
  <si>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</si>
  <si>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</si>
  <si>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</si>
  <si>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</si>
  <si>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</si>
  <si>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</si>
  <si>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</si>
  <si>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978-5-16-020004-0</t>
  </si>
  <si>
    <t>Май, 2024</t>
  </si>
  <si>
    <t>784904.01.01</t>
  </si>
  <si>
    <t>Организация строительного производства: Уч. / В.М.Серов-М.:НИЦ ИНФРА-М,2022.-281 с.(ВО: Бакалавр.)(п)</t>
  </si>
  <si>
    <t>978-5-16-018020-5</t>
  </si>
  <si>
    <t>08.02.01, 08.02.02, 08.03.01, 08.04.01</t>
  </si>
  <si>
    <t>Сентябрь, 2023</t>
  </si>
  <si>
    <t>698348.03.01</t>
  </si>
  <si>
    <t>Основы архитектуры зданий и сооруж.: Уч. / А.З.Абуханов  - 5 изд. - М.:ИЦ РИОР, НИЦ ИНФРА-М,2023-296с(П)</t>
  </si>
  <si>
    <t>ОСНОВЫ АРХИТЕКТУРЫ ЗДАНИЙ И СООРУЖЕНИЙ, ИЗД.5</t>
  </si>
  <si>
    <t>Абуханов А.З., Белоконев Е.Н., Белоконева Т.М. и др.</t>
  </si>
  <si>
    <t>978-5-369-01817-0</t>
  </si>
  <si>
    <t>0519</t>
  </si>
  <si>
    <t>685913.04.01</t>
  </si>
  <si>
    <t>Основы архитектуры зданий и сооружений...: Уч.пос. / В.Н.Алексеенко - М.:НИЦ ИНФРА-М,2024-121с.(ВО(КрымФУ))(о)</t>
  </si>
  <si>
    <t>ОСНОВЫ АРХИТЕКТУРЫ ЗДАНИЙ И СООРУЖЕНИЙ. МАЛОЭТАЖНЫЕ ЗДАНИЯ СО СТЕНАМИ ИЗ АВТОКЛАВНОГО ГАЗОБЕТОНА</t>
  </si>
  <si>
    <t>Алексеенко В.Н., Жиленко О.Б.</t>
  </si>
  <si>
    <t>Высшее образование (КрымФУ)</t>
  </si>
  <si>
    <t>978-5-16-018836-2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</si>
  <si>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</si>
  <si>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Крымский федеральный университет им. В.И. Вернадского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</si>
  <si>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</si>
  <si>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</si>
  <si>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</si>
  <si>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СПО</t>
  </si>
  <si>
    <t>978-5-369-01822-4</t>
  </si>
  <si>
    <t>700733.03.01</t>
  </si>
  <si>
    <t>Основы геотехники в криолитозоне: Уч. / Л.Н.Хрусталев - М.:НИЦ ИНФРА-М,2024 - 543 с.-(ВО Специалитет)(П)</t>
  </si>
  <si>
    <t>ОСНОВЫ ГЕОТЕХНИКИ В КРИОЛИТОЗОНЕ</t>
  </si>
  <si>
    <t>Хрусталев Л.Н.</t>
  </si>
  <si>
    <t>978-5-16-014896-0</t>
  </si>
  <si>
    <t>08.03.01, 23.05.06</t>
  </si>
  <si>
    <t>Допущено Учебно-методическим советом по геологии Учебно-методического объединения по классическому университетскому образованию в качестве учебника для студентов высших учебных заведений, обучающихся по направлению «Геология» и специальности «Гидрогеология и инженерная геология»</t>
  </si>
  <si>
    <t>Московский государственный университет им. М.В. Ломоносова, Геологический факультет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</si>
  <si>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</si>
  <si>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</si>
  <si>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</si>
  <si>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</si>
  <si>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</si>
  <si>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</si>
  <si>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480300.06.01</t>
  </si>
  <si>
    <t>Основы металловедения и сварки: Уч.пос. / М.Д.Мосесов-М.:Форум, НИЦ ИНФРА-М,2020-128с(ВО(О)</t>
  </si>
  <si>
    <t>ОСНОВЫ МЕТАЛЛОВЕДЕНИЯ И СВАРКИ</t>
  </si>
  <si>
    <t>Мосесов М.Д.</t>
  </si>
  <si>
    <t>978-5-00091-624-7</t>
  </si>
  <si>
    <t>08.03.01, 08.04.01, 08.05.01, 15.03.01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</si>
  <si>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05.23.01 «Строительные конструкции, здания и сооружения»</t>
  </si>
  <si>
    <t>690078.03.01</t>
  </si>
  <si>
    <t>Основы теории упругости, пластичности и ползучести: Уч.пос. / В.Т.Чемодуров-М.:НИЦ ИНФРА-М,2023-238с</t>
  </si>
  <si>
    <t>ОСНОВЫ ТЕОРИИ УПРУГОСТИ, ПЛАСТИЧНОСТИ И ПОЛЗУЧЕСТИ</t>
  </si>
  <si>
    <t>Чемодуров В.Т., Ажермачев С.Г., Пшеничная-Ажермачева К.С.</t>
  </si>
  <si>
    <t>Высшее образование: Бакалавриат (КрымФУ)</t>
  </si>
  <si>
    <t>978-5-16-014793-2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</si>
  <si>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13.05.2019)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</si>
  <si>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</si>
  <si>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</si>
  <si>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</si>
  <si>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</si>
  <si>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</si>
  <si>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</si>
  <si>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204800.04.01</t>
  </si>
  <si>
    <t>Основы триботехники: Уч. / А.И. Доценко - М.: НИЦ ИНФРА-М, 2018. - 336 с.(ВО: Бакалавриат) (п)</t>
  </si>
  <si>
    <t>ОСНОВЫ ТРИБОТЕХНИКИ</t>
  </si>
  <si>
    <t>Доценко А. И., Буяновский И. А.</t>
  </si>
  <si>
    <t>978-5-16-006712-4</t>
  </si>
  <si>
    <t>08.03.01, 08.04.01, 23.03.02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</si>
  <si>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программе бакалавриата по направлению 270800 - «Строительство» (профили «Механизация и автоматизация стро</t>
  </si>
  <si>
    <t>694549.03.01</t>
  </si>
  <si>
    <t>Основы триботехники: Уч. / А.И.Доценко - М.:НИЦ ИНФРА-М,2023 - 336 с.-(СПО)(П)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</si>
  <si>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</si>
  <si>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</si>
  <si>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</si>
  <si>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</si>
  <si>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667632.04.01</t>
  </si>
  <si>
    <t>Основы черчения и начертат.геометрии: Уч.пос. / Л.И.Супрун-М.:НИЦ ИНФРА-М, СФУ,2021-138с(ВО:Бакалавр)</t>
  </si>
  <si>
    <t>ОСНОВЫ ЧЕРЧЕНИЯ И НАЧЕРТАТЕЛЬНОЙ ГЕОМЕТРИИ</t>
  </si>
  <si>
    <t>Супрун Л.И., Супрун Е.Г., Устюгова Л.А.</t>
  </si>
  <si>
    <t>Высшее образование: Бакалавриат (СФУ)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</si>
  <si>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</si>
  <si>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</si>
  <si>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</si>
  <si>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</si>
  <si>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</si>
  <si>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</si>
  <si>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</si>
  <si>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</si>
  <si>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</si>
  <si>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</si>
  <si>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</si>
  <si>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</si>
  <si>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</si>
  <si>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</si>
  <si>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</si>
  <si>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</si>
  <si>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</si>
  <si>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</si>
  <si>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</si>
  <si>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</si>
  <si>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</si>
  <si>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</si>
  <si>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750867.01.01</t>
  </si>
  <si>
    <t>Очистка сточных вод: новые модели флотации...: Моногр. / Б.С.Ксенофонтов - М.:НИЦ ИНФРА-М,2021-203 с(О)</t>
  </si>
  <si>
    <t>ОЧИСТКА СТОЧНЫХ ВОД: НОВЫЕ МОДЕЛИ ФЛОТАЦИИ И ФЛОТОКОМБАЙНЫ ТИПА КБС И СПЕЦИАЛЬНОГО НАЗНАЧЕНИЯ</t>
  </si>
  <si>
    <t>978-5-16-016773-2</t>
  </si>
  <si>
    <t>20.04.02, 20.06.01</t>
  </si>
  <si>
    <t>216700.07.01</t>
  </si>
  <si>
    <t>Планирование науч. эксперимента: Уч. / В.А.Волосухин - 2 изд. - М.:ИЦ РИОР, НИЦ ИНФРА-М,2023 - 176 с.(ВО)(О)</t>
  </si>
  <si>
    <t>ПЛАНИРОВАНИЕ НАУЧНОГО ЭКСПЕРИМЕНТА, ИЗД.2</t>
  </si>
  <si>
    <t>Волосухин В.А., Тищенко А.И.</t>
  </si>
  <si>
    <t>978-5-369-01229-1</t>
  </si>
  <si>
    <t>08.03.01, 08.04.01, 20.03.01, 20.03.02, 20.04.01, 20.04.02</t>
  </si>
  <si>
    <t>Рекомендовано УМО по образованию в области природообустройства и водопользования в качестве учебника для студентов высших учебных заведений, обучающихся по направлению подготовки 280100 «Природообустройство и водопользование»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</si>
  <si>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</si>
  <si>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</si>
  <si>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</si>
  <si>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</si>
  <si>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</si>
  <si>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</si>
  <si>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124650.14.01</t>
  </si>
  <si>
    <t>Планировка и застройка населенных мест: Уч.пос. / В.В.Федоров - М.:НИЦ ИНФРА-М,2023 - 133 с.(ВО)(П)</t>
  </si>
  <si>
    <t>ПЛАНИРОВКА И ЗАСТРОЙКА НАСЕЛЕННЫХ МЕСТ</t>
  </si>
  <si>
    <t>Федоров В. В.</t>
  </si>
  <si>
    <t>978-5-16-016235-5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</si>
  <si>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направлению подготовки 08.03.01 «Строительство»</t>
  </si>
  <si>
    <t>0110</t>
  </si>
  <si>
    <t>670461.03.01</t>
  </si>
  <si>
    <t>Плоские и простр. цельнодер. и деревомет. фермы..: Моногр. / П.А.Дмитриев - М:НИЦ ИНФРА-М, СФУ,2022-173с.(П)</t>
  </si>
  <si>
    <t>ПЛОСКИЕ И ПРОСТРАНСТВЕННЫЕ ЦЕЛЬНОДЕРЕВЯННЫЕ И ДЕРЕВОМЕТАЛЛИЧЕСКИЕ ФЕРМЫ ДЛЯ ПОКРЫТИЯ ЗДАНИЙ. ОШИБКИ ПРОЕКТИРОВАНИЯ И ИЗГОТОВЛЕНИЯ</t>
  </si>
  <si>
    <t>Дмитриев П.А.</t>
  </si>
  <si>
    <t>978-5-16-017483-9</t>
  </si>
  <si>
    <t>08.04.01, 08.06.01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</si>
  <si>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</si>
  <si>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</si>
  <si>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</si>
  <si>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</si>
  <si>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Справочники ИНФРА-М</t>
  </si>
  <si>
    <t>978-5-16-018185-1</t>
  </si>
  <si>
    <t>Справочник</t>
  </si>
  <si>
    <t>08.02.01, 08.02.02, 08.03.01, 08.04.01, 08.05.01, 08.05.02, 08.05.03, 08.06.01</t>
  </si>
  <si>
    <t>Московский энергетический институт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</si>
  <si>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</si>
  <si>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</si>
  <si>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</si>
  <si>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</si>
  <si>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</si>
  <si>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</si>
  <si>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</si>
  <si>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</si>
  <si>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</si>
  <si>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770931.01.01</t>
  </si>
  <si>
    <t>Подтопление и затопление селитебных территорий: Моногр. / Б.С.Ксенофонтов - М.:НИЦ ИНФРА-М,2022 - 190 с.(О)</t>
  </si>
  <si>
    <t>ПОДТОПЛЕНИЕ И ЗАТОПЛЕНИЕ СЕЛИТЕБНЫХ ТЕРРИТОРИЙ: ВОЗМОЖНЫЕ  ПУТИ РЕШЕНИЯ</t>
  </si>
  <si>
    <t>978-5-16-017431-0</t>
  </si>
  <si>
    <t>07.04.04, 07.09.04, 08.04.01, 08.06.01, 20.04.01, 20.04.02, 20.06.01, 20.07.01</t>
  </si>
  <si>
    <t>660065.05.01</t>
  </si>
  <si>
    <t>Правила безопасности сетей газораспределения и газопотребления - 2 изд.-М.:НИЦ ИНФРА-М,2023.-49 с.(О)</t>
  </si>
  <si>
    <t>ПРАВИЛА БЕЗОПАСНОСТИ СЕТЕЙ ГАЗОРАСПРЕДЕЛЕНИЯ И ГАЗОПОТРЕБЛЕНИЯ, ИЗД.2</t>
  </si>
  <si>
    <t>Без автора</t>
  </si>
  <si>
    <t>Обложка. Внакидку</t>
  </si>
  <si>
    <t>Федеральные нормы и правила</t>
  </si>
  <si>
    <t>978-5-16-012925-9</t>
  </si>
  <si>
    <t>Правила</t>
  </si>
  <si>
    <t>660065.03.01</t>
  </si>
  <si>
    <t>Правила безопасности сетей газораспределения и газопотребления - М.:НИЦ ИНФРА-М,2019-44с.(О)</t>
  </si>
  <si>
    <t>ПРАВИЛА БЕЗОПАСНОСТИ СЕТЕЙ ГАЗОРАСПРЕДЕЛЕНИЯ И ГАЗОПОТРЕБЛЕНИЯ</t>
  </si>
  <si>
    <t>180150.06.01</t>
  </si>
  <si>
    <t>Проблемы и тенденции разв. малоэтажного жилищного строительства России: Моногр. / С.А.Баронин и др.-М.:НИЦ ИНФРА-М,2022.-239 с(О)</t>
  </si>
  <si>
    <t>ПРОБЛЕМЫ И ТЕНДЕНЦИИ РАЗВИТИЯ МАЛОЭТАЖНОГО ЖИЛИЩНОГО СТРОИТЕЛЬСТВА РОССИИ</t>
  </si>
  <si>
    <t>Баронин С.А., Николаева Е.Л., Черных А.Г. и др.</t>
  </si>
  <si>
    <t>978-5-16-006265-5</t>
  </si>
  <si>
    <t>Пензенский государственный университет архитектуры и строительства</t>
  </si>
  <si>
    <t>679964.02.01</t>
  </si>
  <si>
    <t>Прогнозирование долговеч. конструкц. бетона...: Моногр. / Леонович С.Н.-М.:НИЦ ИНФРА-М,2024.-211 с.(о)</t>
  </si>
  <si>
    <t>ПРОГНОЗИРОВАНИЕ ДОЛГОВЕЧНОСТИ КОНСТРУКЦИОННОГО БЕТОНА ПРИ АГРЕССИВНЫХ ВОЗДЕЙСТВИЯХ</t>
  </si>
  <si>
    <t>Леонович С.Н., Доркин В.В., Чернякевич О.Ю. и др.</t>
  </si>
  <si>
    <t>978-5-16-014361-3</t>
  </si>
  <si>
    <t>248700.06.01</t>
  </si>
  <si>
    <t>Проектирование и расчёт стал.ферм покрытий...: Уч.пос. / Н.Я.Кузин-2изд.-М.:НИЦ ИНФРА-М,2023-288с(П)</t>
  </si>
  <si>
    <t>ПРОЕКТИРОВАНИЕ И РАСЧЁТ СТАЛЬНЫХ ФЕРМ ПОКРЫТИЙ ПРОМЫШЛЕННЫХ ЗДАНИЙ, ИЗД.2</t>
  </si>
  <si>
    <t>Кузин Н.Я.</t>
  </si>
  <si>
    <t>978-5-16-009334-5</t>
  </si>
  <si>
    <t>690880.07.01</t>
  </si>
  <si>
    <t>Проектирование, строит. и эксплуатация зданий...: Уч.пос. / В.Н.Алексеенко-М.:НИЦ ИНФРА-М,2024.-226 с(П)</t>
  </si>
  <si>
    <t>ПРОЕКТИРОВАНИЕ, СТРОИТЕЛЬСТВО И ЭКСПЛУАТАЦИЯ ЗДАНИЙ В СЕЙСМИЧЕСКИХ РАЙОНАХ</t>
  </si>
  <si>
    <t>978-5-16-014705-5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</si>
  <si>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08.03.01 «Строительство» (квалификация (степень) «бакалавр») (протокол № 8 от 22.06.2020)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</si>
  <si>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</si>
  <si>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</si>
  <si>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</si>
  <si>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</si>
  <si>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</si>
  <si>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</si>
  <si>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</si>
  <si>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719785.04.01</t>
  </si>
  <si>
    <t>Промышленное строительство...: Монография / А.Д.Жуков -М.:НИЦ ИНФРА-М,2024.-395 с.(П)</t>
  </si>
  <si>
    <t>ПРОМЫШЛЕННОЕ СТРОИТЕЛЬСТВО. ЗДАНИЯ И СООРУЖЕНИЯ. ЗАЩИТА ОТ КОРРОЗИИ И ЭКОЛОГИЯ</t>
  </si>
  <si>
    <t>Жуков А.Д., Асташкин В.М., Жолудов В.С. и др.</t>
  </si>
  <si>
    <t>978-5-16-015879-2</t>
  </si>
  <si>
    <t>642426.07.01</t>
  </si>
  <si>
    <t>Прочность, трещиностойк.и долговеч.конструкц.бетона: Моногр./ С.Н.Леонович-М.:НИЦ ИНФРА-М,2024-258с.</t>
  </si>
  <si>
    <t>ПРОЧНОСТЬ, ТРЕЩИНОСТОЙКОСТЬ И ДОЛГОВЕЧНОСТЬ КОНСТРУКЦИОННОГО БЕТОНА ПРИ ТЕМПЕРАТУРНЫХ И ВЛАЖНОСТНЫХ ВОЗДЕЙСТВИЯХ</t>
  </si>
  <si>
    <t>Леонович С.Н., Зайцев Ю.В., Доркин В.В. и др.</t>
  </si>
  <si>
    <t>978-5-16-013191-7</t>
  </si>
  <si>
    <t>480100.06.01</t>
  </si>
  <si>
    <t>Радиоэлектронные методы и средства исп..: Уч.пос. /М.Д.Мосесов-М:Форум,НИЦ ИНФРА-М,2023-160с(ВО)(о)</t>
  </si>
  <si>
    <t>РАДИОЭЛЕКТРОННЫЕ МЕТОДЫ И СРЕДСТВА ИСПЫТАНИЙ СТРОИТЕЛЬНЫХ КОНСТРУКЦИЙ И СООРУЖЕНИЙ</t>
  </si>
  <si>
    <t>978-5-00091-186-0</t>
  </si>
  <si>
    <t>Рекомендовано в качестве учебного пособия для студентов высших учебных заведений, обучающихся по специальностям 08.06.01 «Техника и технология строительства», 08.04.01 «Строительство» и 06.06.01 «Метрология, стандартизация и сертификация»</t>
  </si>
  <si>
    <t>719199.03.01</t>
  </si>
  <si>
    <t>Расчетные модели конструкционных строит. матер...: Моногр. / Й.Эберхардштайнер.-М.:НИЦ ИНФРА-М,2024.-320 с.(О)</t>
  </si>
  <si>
    <t>РАСЧЕТНЫЕ МОДЕЛИ КОНСТРУКЦИОННЫХ СТРОИТЕЛЬНЫХ МАТЕРИАЛОВ ПРИ МНОГООСНОМ НАПРЯЖЕНИИ</t>
  </si>
  <si>
    <t>Эберхардштайнер Й., Леонович С.Н., Доркин В.В. и др.</t>
  </si>
  <si>
    <t>978-5-16-016129-7</t>
  </si>
  <si>
    <t>15.04.01</t>
  </si>
  <si>
    <t>Венский технический университет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</si>
  <si>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</si>
  <si>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</si>
  <si>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</si>
  <si>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</si>
  <si>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</si>
  <si>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</si>
  <si>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666948.06.01</t>
  </si>
  <si>
    <t>Реконструкция зданий и коммун. сооруж. в системе...: Уч.пос. / В.М.Лебедев-М.:НИЦ ИНФРА-М,2024-191с.(ВО)(П)</t>
  </si>
  <si>
    <t>РЕКОНСТРУКЦИЯ ЗДАНИЙ И КОММУНАЛЬНЫХ СООРУЖЕНИЙ В СИСТЕМЕ ГОРОДСКОЙ ЗАСТРОЙКИ (УПРАВЛЕНИЕ ПРОЕКТАМИ)</t>
  </si>
  <si>
    <t>Лебедев В.М.</t>
  </si>
  <si>
    <t>978-5-16-013561-8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</si>
  <si>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</t>
  </si>
  <si>
    <t>Белгородский государственный технологический университет им. В.Г. Шухова</t>
  </si>
  <si>
    <t>089890.15.01</t>
  </si>
  <si>
    <t>Реконструкция зданий, сооруж. и город.застр.: Уч.пос. / В.В.Федоров-М.:НИЦ ИНФРА-М,2024-224с(ВО)(п)</t>
  </si>
  <si>
    <t>РЕКОНСТРУКЦИЯ ЗДАНИЙ, СООРУЖЕНИЙ И ГОРОДСКОЙ ЗАСТРОЙКИ</t>
  </si>
  <si>
    <t>Федоров В. В., Федорова Н. Н., Сухарев Ю. В.</t>
  </si>
  <si>
    <t>978-5-16-019282-6</t>
  </si>
  <si>
    <t>Рекомендовано УМО в области строительства в качестве учебного пособия для студентов высших учебных заведений, обучающихся по строительным специальностям</t>
  </si>
  <si>
    <t>707356.03.01</t>
  </si>
  <si>
    <t>Реконструкция зданий, сооружений и городской застройки: Уч.пос. / В.В.Федоров-М.:НИЦ ИНФРА-М,2023-224с(П)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</si>
  <si>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</si>
  <si>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</si>
  <si>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</si>
  <si>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</si>
  <si>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</si>
  <si>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</si>
  <si>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</si>
  <si>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</si>
  <si>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</si>
  <si>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</si>
  <si>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0103</t>
  </si>
  <si>
    <t>718179.07.01</t>
  </si>
  <si>
    <t>Реконструкция и реставрация зданий: Уч. / В.В.Федоров-М.:НИЦ ИНФРА-М,2024.-208 с.(ВО)(п)</t>
  </si>
  <si>
    <t>978-5-16-018621-4</t>
  </si>
  <si>
    <t>08.02.01, 08.03.01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</si>
  <si>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08.03.00 «Техника и технологии строительства» (квалификация (степень) «бакалавр») (протокол № 10 от 27.05.2019)</t>
  </si>
  <si>
    <t>2ПО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</si>
  <si>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</si>
  <si>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</si>
  <si>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</si>
  <si>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</si>
  <si>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</si>
  <si>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</si>
  <si>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189750.07.01</t>
  </si>
  <si>
    <t>Рисунок в Московской архитектурной школе... : Уч.пос. / З.В. Жилкина -М.:КУРС:НИЦ ИНФРА-М,2023-112с.(О)</t>
  </si>
  <si>
    <t>РИСУНОК В МОСКОВСКОЙ АРХИТЕКТУРНОЙ ШКОЛЕ. ИСТОРИЯ. ТЕОРИЯ. ПРАКТИКА</t>
  </si>
  <si>
    <t>Жилкина З.В.</t>
  </si>
  <si>
    <t>978-5-905554-18-6</t>
  </si>
  <si>
    <t>07.03.01, 07.04.01, 44.03.01, 50.03.03, 50.04.03, 51.03.02, 54.03.03, 54.04.02</t>
  </si>
  <si>
    <t>Допущено УМО по образованию в области архитектуры Министерства образования и науки РФ в качестве учебного пособия для студентов вузов, обучающихся по направлению "Архитектура"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</si>
  <si>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</si>
  <si>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</si>
  <si>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</si>
  <si>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</si>
  <si>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Магистр</t>
  </si>
  <si>
    <t>978-5-9776-0289-1</t>
  </si>
  <si>
    <t>38.03.01, 38.03.02, 38.03.04, 38.04.01, 38.04.02, 38.04.04, 41.03.06</t>
  </si>
  <si>
    <t>Финансовый университет при Правительстве Российской Федерации</t>
  </si>
  <si>
    <t>782290.01.01</t>
  </si>
  <si>
    <t>Садово-парковое искусство: Уч.пос.-М.:НИЦ ИНФРА-М,2023.-376 с..-(ВО: Бакалавриат)(п)</t>
  </si>
  <si>
    <t>САДОВО-ПАРКОВОЕ ИСКУССТВО</t>
  </si>
  <si>
    <t>Кригер Н.В., Фомина Н.В.</t>
  </si>
  <si>
    <t>Высшее образование: Бакалавриат (КрГАУ)</t>
  </si>
  <si>
    <t>978-5-16-018079-3</t>
  </si>
  <si>
    <t>35.03.05, 35.03.10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</si>
  <si>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</si>
  <si>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Красноярский Государственный Аграрный Университет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</si>
  <si>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</si>
  <si>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</si>
  <si>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</si>
  <si>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</si>
  <si>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</si>
  <si>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</si>
  <si>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</si>
  <si>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</si>
  <si>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</si>
  <si>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</si>
  <si>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</si>
  <si>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</si>
  <si>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</si>
  <si>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</si>
  <si>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</si>
  <si>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</si>
  <si>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</si>
  <si>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</si>
  <si>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</si>
  <si>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</si>
  <si>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670469.03.01</t>
  </si>
  <si>
    <t>Системный подход к оценке параметров заземляющих сетей/ М.А.Авербух-М.:НИЦ ИНФРА-М, СФУ,2024-271с(П)</t>
  </si>
  <si>
    <t>СИСТЕМНЫЙ ПОДХОД К ОЦЕНКЕ ПАРАМЕТРОВ ЗАЗЕМЛЯЮЩИХ СЕТЕЙ ЭЛЕКТРОУСТАНОВОК СЕВЕРНЫХ ПРОМЫШЛЕННЫХ КОМПЛЕКСОВ</t>
  </si>
  <si>
    <t>Авербух М.А., Забусов В.В., Пантелеев В.И.</t>
  </si>
  <si>
    <t>978-5-16-019420-2</t>
  </si>
  <si>
    <t>00.03.31, 13.03.02, 13.04.02</t>
  </si>
  <si>
    <t>666733.02.01</t>
  </si>
  <si>
    <t>Системокванты технолог.процессов в поточном строит..: Моногр. / В.М.Лебедев-М.:НИЦ ИНФРА-М,2023-203с</t>
  </si>
  <si>
    <t>СИСТЕМОКВАНТЫ ТЕХНОЛОГИЧЕСКИХ ПРОЦЕССОВ В ПОТОЧНОМ СТРОИТЕЛЬСТВЕ ОБЪЕКТОВ И КОМПЛЕКСОВ</t>
  </si>
  <si>
    <t>978-5-16-018130-1</t>
  </si>
  <si>
    <t>666729.02.01</t>
  </si>
  <si>
    <t>Системотехника и системокванты строит. произв.: Моногр. / В.М.Лебедев-М.:НИЦ ИНФРА-М,2019.-226 с.(П)</t>
  </si>
  <si>
    <t>СИСТЕМОТЕХНИКА И СИСТЕМОКВАНТЫ СТРОИТЕЛЬНОГО ПРОИЗВОДСТВА</t>
  </si>
  <si>
    <t>978-5-16-013333-1</t>
  </si>
  <si>
    <t>663945.05.01</t>
  </si>
  <si>
    <t>Системы борьбы с шумом и вибрацией: Уч.пос. / А.Ю.Курмышева - М.:НИЦ ИНФРА-М,2022 - 211 с(ВО(П)</t>
  </si>
  <si>
    <t>СИСТЕМЫ БОРЬБЫ С ШУМОМ И ВИБРАЦИЕЙ</t>
  </si>
  <si>
    <t>Курмышева А.Ю., Рязанцева А.В.</t>
  </si>
  <si>
    <t>978-5-16-013799-5</t>
  </si>
  <si>
    <t>13.03.01, 20.03.01, 20.04.01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</si>
  <si>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13.03.01 «Теплоэнергетика и теплотехника» (квалификация (степень) «бакалавр») (протокол № 6 от 25.03.2019)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</si>
  <si>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</si>
  <si>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</si>
  <si>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</si>
  <si>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</si>
  <si>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</si>
  <si>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</si>
  <si>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</si>
  <si>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</si>
  <si>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</si>
  <si>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</si>
  <si>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</si>
  <si>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</si>
  <si>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23</t>
  </si>
  <si>
    <t>489850.07.01</t>
  </si>
  <si>
    <t>Современные методы упр. жилищ. строит.: Уч.пос. /В.В.Бузырев -М.: Вуз.уч., НИЦ ИНФРА-М, 2023-240с(П)</t>
  </si>
  <si>
    <t>СОВРЕМЕННЫЕ МЕТОДЫ УПРАВЛЕНИЯ ЖИЛИЩНЫМ СТРОИТЕЛЬСТВОМ</t>
  </si>
  <si>
    <t>БузыревВ.В., Селютина Л.Г., МартыновВ.Ф.</t>
  </si>
  <si>
    <t>Вузовский учебник</t>
  </si>
  <si>
    <t>978-5-9558-0428-6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</si>
  <si>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 Менеджмент по  магистерской программе «Предпринимательство и  управление строительством»</t>
  </si>
  <si>
    <t>Санкт-Петербургский государственный экономический университет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</si>
  <si>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</si>
  <si>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</si>
  <si>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</si>
  <si>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</si>
  <si>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</si>
  <si>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</si>
  <si>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169550.05.01</t>
  </si>
  <si>
    <t>Становление гос. Древнего Новгорода.: Моногр. /М.В.Амосов -2изд.-М.:ИЦ РИОР,НИЦ ИНФРА-М,2023-204с(о)</t>
  </si>
  <si>
    <t>СТАНОВЛЕНИЕ ГОСУДАРСТВЕННОСТИ ДРЕВНЕГО НОВГОРОДА И МОНУМЕНТАЛЬНОГО ЗОДЧЕСТВА, ИЗД.2</t>
  </si>
  <si>
    <t>Амосов М.В.</t>
  </si>
  <si>
    <t>978-5-369-01141-6</t>
  </si>
  <si>
    <t>07.03.01, 07.03.03, 07.04.01, 07.04.03, 44.03.01, 44.03.05, 46.03.01, 46.03.02, 46.04.01, 46.04.02, 51.03.04, 51.04.04, 54.03.04, 54.04.04</t>
  </si>
  <si>
    <t>Театр Классического Балета Наталии Касаткиной и Владимира Василёва</t>
  </si>
  <si>
    <t>460150.05.01</t>
  </si>
  <si>
    <t>Строительная механика плоских стерж.: Уч.пос. / Под ред. Трушина С.И.,2изд.-М.:НИЦ ИНФРА-М,2024-278с</t>
  </si>
  <si>
    <t>СТРОИТЕЛЬНАЯ МЕХАНИКА ПЛОСКИХ СТЕРЖНЕВЫХ СИСТЕМ, ИЗД.2</t>
  </si>
  <si>
    <t>Ступишин Л.Ю., Трушин С.И., Трушин С.И.</t>
  </si>
  <si>
    <t>978-5-16-009451-9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</si>
  <si>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строительный университет» в качестве учебного пособия для студентов ВПО, обучающихся по направлению подг</t>
  </si>
  <si>
    <t>Юго-Западный государственный университет</t>
  </si>
  <si>
    <t>449700.08.01</t>
  </si>
  <si>
    <t>Строительная механика: метод конечных элем.: Уч.пос. / С.И.Трушин - М.:НИЦ ИНФРА-М,2024-305с.(ВО)(П)</t>
  </si>
  <si>
    <t>СТРОИТЕЛЬНАЯ МЕХАНИКА: МЕТОД КОНЕЧНЫХ ЭЛЕМЕНТОВ</t>
  </si>
  <si>
    <t>Трушин С.И.</t>
  </si>
  <si>
    <t>978-5-16-011428-6</t>
  </si>
  <si>
    <t>Рекомендовано Учебно-методическим объединением вузов РФ по образованию в области строительства в качестве учебного пособия для подготовки бакалавров по направлению 08.03.01 «Строительство», магистров по направлению 08.04.01 «Строительство» и специалистов по направлению 08.05.01 «Строительство уникальных зданий и сооружений»</t>
  </si>
  <si>
    <t>406050.09.01</t>
  </si>
  <si>
    <t>Строительная теплофизика: Уч. пос. / А.А.Кудинов - М.:НИЦ ИНФРА-М,2024. - 262 с.(ВО)(п)</t>
  </si>
  <si>
    <t>СТРОИТЕЛЬНАЯ ТЕПЛОФИЗИКА</t>
  </si>
  <si>
    <t>Кудинов А. А.</t>
  </si>
  <si>
    <t>978-5-16-019184-3</t>
  </si>
  <si>
    <t>08.02.13, 08.03.01, 08.04.01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</si>
  <si>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</si>
  <si>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</si>
  <si>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</si>
  <si>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</si>
  <si>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</si>
  <si>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</si>
  <si>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</si>
  <si>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0311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</si>
  <si>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</si>
  <si>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</si>
  <si>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</si>
  <si>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</si>
  <si>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</si>
  <si>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</si>
  <si>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</si>
  <si>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</si>
  <si>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</si>
  <si>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</si>
  <si>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</si>
  <si>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</si>
  <si>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430600.08.01</t>
  </si>
  <si>
    <t>Строительные материалы..: Уч.-мет.пос. / Я.Н.Ковалев - М.:НИЦ ИНФРА-М,Нов.зн.,2024 - 633 с.(ВО)(п)</t>
  </si>
  <si>
    <t>СТРОИТЕЛЬНЫЕ МАТЕРИАЛЫ. ЛАБОРАТОРНЫЙ ПРАКТИКУМ</t>
  </si>
  <si>
    <t>Ковалев Я. Н., Галузо Г. С., Змачинский А. Э., Чистова Т. А., Ковалев Я. Н.</t>
  </si>
  <si>
    <t>978-5-16-006406-2</t>
  </si>
  <si>
    <t>Рекомендовано Учебно-методическим объединением по образованию в области строительства и архитектуры в качестве учебно-методического пособия для студентов специальностей 1-70 03 01 «Автомобильные дороги» и 1-70 01 02 «Мосты, транспортные тоннели и метрополитены»</t>
  </si>
  <si>
    <t>406300.11.01</t>
  </si>
  <si>
    <t>Строительные материалы: Уч.пос. / П.С.Красовский - М.:Форум, НИЦ ИНФРА-М,2024 - 256 с.-(ВО) (П)</t>
  </si>
  <si>
    <t>СТРОИТЕЛЬНЫЕ МАТЕРИАЛЫ</t>
  </si>
  <si>
    <t>Красовский П.С.</t>
  </si>
  <si>
    <t>978-5-00091-665-0</t>
  </si>
  <si>
    <t>08.03.01, 08.04.01, 20.03.02, 35.03.10</t>
  </si>
  <si>
    <t>Рекомендовано в качестве учебного пособия для бакалавров, магистров и специалистов, обучающихся по группе направлений подготовки 08.00.00 «Техника и технологии строительства»</t>
  </si>
  <si>
    <t>707352.07.01</t>
  </si>
  <si>
    <t>Строительные материалы: Уч.пос. / П.С.Красовский - М.:Форум, НИЦ ИНФРА-М,2024 - 256 с.-(СПО)(П)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</si>
  <si>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</si>
  <si>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</si>
  <si>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</si>
  <si>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</si>
  <si>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</si>
  <si>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</si>
  <si>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</si>
  <si>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</si>
  <si>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</si>
  <si>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</si>
  <si>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144000.15.01</t>
  </si>
  <si>
    <t>Строительные машины: Уч. / А.И.Доценко, - 2 изд.-М.:НИЦ ИНФРА-М,2024.-400 с.(ВО: Бакалавриат)(П)</t>
  </si>
  <si>
    <t>СТРОИТЕЛЬНЫЕ МАШИНЫ, ИЗД.2</t>
  </si>
  <si>
    <t>Доценко А.И.</t>
  </si>
  <si>
    <t>978-5-16-013631-8</t>
  </si>
  <si>
    <t>Рекомендовано Учебно-методическим объединением вузов РФ по образованию в области строительства в качестве учебника для студентов, обучающихся по направлению 08.03.01 «Строительство»</t>
  </si>
  <si>
    <t>144000.07.01</t>
  </si>
  <si>
    <t>Строительные машины: Уч. для строит. вузов / А.И.Доценко - М.:НИЦ ИНФРА-М,2018-533с(ВО:Бакалавр.)(П)</t>
  </si>
  <si>
    <t>Доценко А. И., Дронов В. Г.</t>
  </si>
  <si>
    <t>978-5-16-004826-0</t>
  </si>
  <si>
    <t>264600.05.01</t>
  </si>
  <si>
    <t>Строительство автодор.и город.тоннел.: Уч. / Под ред. Маковского Л.В. - М.:ИЦ РИОР,НИЦ ИНФРА-М,2022 - 397с(О)</t>
  </si>
  <si>
    <t>СТРОИТЕЛЬСТВО АВТОДОРОЖНЫХ И ГОРОДСКИХ ТОННЕЛЕЙ</t>
  </si>
  <si>
    <t>Маковский Л.В., Щекудов Е.В., Петрова Е.Н. и др.</t>
  </si>
  <si>
    <t>978-5-369-01331-1</t>
  </si>
  <si>
    <t>Допущено УМО вузов РФ по образованию в области железнодорожного транспорта и транспортного строительства в качестве учебника для студентов вузов, обучающихся по специальностям «Автомобильные дороги и аэродромы» направления подготовки «Транспортное ст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</si>
  <si>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</si>
  <si>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</si>
  <si>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</si>
  <si>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</si>
  <si>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</si>
  <si>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</si>
  <si>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403700.12.01</t>
  </si>
  <si>
    <t>Строительство городских объектов озеленения: Уч./М.М.Фатиев - М.: Форум: НИЦ Инфра-М, 2024-208с.(ВО) (п)</t>
  </si>
  <si>
    <t>Фатиев М. М.</t>
  </si>
  <si>
    <t>978-5-91134-682-9</t>
  </si>
  <si>
    <t>08.02.14, 08.03.01, 35.03.10, 35.04.09</t>
  </si>
  <si>
    <t>372000.07.01</t>
  </si>
  <si>
    <t>Строительство земл.полотна автом.дорог: Уч.пос. / Ю.Г.Бабаскин - М.:НИЦ ИНФРА-М,2024 - 333с.(ВО:Бакалавр.)(п)</t>
  </si>
  <si>
    <t>СТРОИТЕЛЬСТВО ЗЕМЛЯНОГО ПОЛОТНА АВТОМОБИЛЬНЫХ ДОРОГ</t>
  </si>
  <si>
    <t>Бабаскин Ю.Г.</t>
  </si>
  <si>
    <t>978-5-16-011884-0</t>
  </si>
  <si>
    <t>07.03.04, 08.03.01, 08.04.01, 08.05.01, 08.05.02, 08.05.03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</si>
  <si>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</si>
  <si>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432559.0028.01</t>
  </si>
  <si>
    <t>Строительство и архитектура, 2020, том 8, № 4 (29)</t>
  </si>
  <si>
    <t>СТРОИТЕЛЬСТВО И АРХИТЕКТУРА, 2020, ТОМ 8, № 4 (29)</t>
  </si>
  <si>
    <t>Журнал</t>
  </si>
  <si>
    <t>08.03.01, 08.04.01, 08.05.01, 08.05.02, 08.05.03, 08.06.01</t>
  </si>
  <si>
    <t>140950.12.01</t>
  </si>
  <si>
    <t>Строительство и экспл. объектов гор. озеленения: Уч.пос. / М.М.Фатиев - М.:НИЦ ИНФРА-М,2024-238 с.(ВО)(П)</t>
  </si>
  <si>
    <t>СТРОИТЕЛЬСТВО И ЭКСПЛУАТАЦИЯ ОБЪЕКТОВ ГОРОДСКОГО ОЗЕЛЕНЕНИЯ</t>
  </si>
  <si>
    <t>Фатиев М. М., Теодоронский В. С.</t>
  </si>
  <si>
    <t>978-5-16-019962-7</t>
  </si>
  <si>
    <t>07.03.01, 07.04.01, 35.03.01, 35.03.10, 35.04.09</t>
  </si>
  <si>
    <t>Рекомендовано Учебно-методическим объединением по образованию в области лесного дела по направлению подготовки 35.03.10 «Ландшафтная архитектура» (квалификация (степень) «бакалавр»)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</si>
  <si>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</si>
  <si>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</si>
  <si>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</si>
  <si>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</si>
  <si>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</si>
  <si>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</si>
  <si>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464900.06.01</t>
  </si>
  <si>
    <t>Структурно-планиров. реорганиз.совр. городов: Уч.пос./Д.Б.Веретенников -М:НИЦ ИНФРА-М,2024-88с(ВО)(о)</t>
  </si>
  <si>
    <t>СТРУКТУРНО-ПЛАНИРОВОЧНАЯ РЕОРГАНИЗАЦИЯ СОВРЕМЕННЫХ ГОРОДОВ</t>
  </si>
  <si>
    <t>978-5-16-018883-6</t>
  </si>
  <si>
    <t>Рекомендовано в качестве учебного пособия для студентов высших учебных заведений, обучающихся по направлению подготовки 07.03.01 «Архитектура»</t>
  </si>
  <si>
    <t>341300.05.01</t>
  </si>
  <si>
    <t>Структурообразование в системах при производстве..: Уч.пос. / Л.Н.Попов -М.:НИЦ ИНФРА-М,2023-61с.(О)</t>
  </si>
  <si>
    <t>СТРУКТУРООБРАЗОВАНИЕ В СИСТЕМАХ ПРИ ПРОИЗВОДСТВЕ СТРОИТЕЛЬНЫХ МАТЕРИАЛОВ</t>
  </si>
  <si>
    <t>Попов Л.Н., Аликина И.Б., Усов Б.А.</t>
  </si>
  <si>
    <t>978-5-16-010755-4</t>
  </si>
  <si>
    <t>Рекомендовано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</si>
  <si>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</si>
  <si>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465100.06.01</t>
  </si>
  <si>
    <t>Структуроформирование мегаполисов: Уч.пос. / Д.Б.Веретенников-М.:Форум, НИЦ ИНФРА-М,2024.-112с(ВО)(О)</t>
  </si>
  <si>
    <t>СТРУКТУРОФОРМИРОВАНИЕ МЕГАПОЛИСОВ</t>
  </si>
  <si>
    <t>978-5-00091-685-8</t>
  </si>
  <si>
    <t>Рекомендовано в качестве учебного пособия для студентов высших учебных заведений, обучающихся по специальности 07.04.01 «Архитектура»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</si>
  <si>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</si>
  <si>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</si>
  <si>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</si>
  <si>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</si>
  <si>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</si>
  <si>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38.03.01, 38.04.01, 44.03.01</t>
  </si>
  <si>
    <t>372200.06.01</t>
  </si>
  <si>
    <t>Теория и методы зимнего бетонир.: Уч.пос. / Ю.И.Доладов - М.:Форум, НИЦ ИНФРА-М,2023 - 176с(ВО)(О)</t>
  </si>
  <si>
    <t>ТЕОРИЯ И МЕТОДЫ ЗИМНЕГО БЕТОНИРОВАНИЯ</t>
  </si>
  <si>
    <t>Доладов Ю.И.</t>
  </si>
  <si>
    <t>978-5-00091-088-7</t>
  </si>
  <si>
    <t>Рекомендовано для студентов высших учебных заведений, обучающихся по специальностям 08.03.01 «Строительство» и 23.05.06 «Строительство мостов и транспортных тоннелей»</t>
  </si>
  <si>
    <t>Самарский государственный университет путей сообщения</t>
  </si>
  <si>
    <t>740752.01.01</t>
  </si>
  <si>
    <t>Теория и практика внедрения  высокоэнергоэфф. технологий в строит.на основе.... Моногр / В.С.Казейкин.-Москва:ИНФРА-М,2021-301c(О)</t>
  </si>
  <si>
    <t>ТЕОРИЯ И ПРАКТИКА ВНЕДРЕНИЯ  ВЫСОКОЭНЕРГОЭФФЕКТИВНЫХ ТЕХНОЛОГИЙ В СТРОИТЕЛЬСТВЕ НА ОСНОВЕ ТЕПЛОГЕНЕРАТОРОВ ТЕРМАРОН</t>
  </si>
  <si>
    <t>Казейкин В.С., Толстолугов В.А., Толстолугова И.И. и др.</t>
  </si>
  <si>
    <t>978-5-16-016441-0</t>
  </si>
  <si>
    <t>Университет "Дубна"</t>
  </si>
  <si>
    <t>813259.01.01</t>
  </si>
  <si>
    <t>Теория ландшафт. архитектуры и методология проектир.: Уч.пос. / Н.В.Кригер-М.:НИЦ ИНФРА-М,2024.-270 с.(ВО)(п)</t>
  </si>
  <si>
    <t>ТЕОРИЯ ЛАНДШАФТНОЙ АРХИТЕКТУРЫ И МЕТОДОЛОГИЯ ПРОЕКТИРОВАНИЯ</t>
  </si>
  <si>
    <t>Высшее образование (КрГАУ)</t>
  </si>
  <si>
    <t>978-5-16-019489-9</t>
  </si>
  <si>
    <t>35.03.10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</si>
  <si>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архитектура», профиль «Садово-парковое и ландшафтное строительство»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</si>
  <si>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</si>
  <si>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</si>
  <si>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</si>
  <si>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</si>
  <si>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</si>
  <si>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</si>
  <si>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</si>
  <si>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308900.05.01</t>
  </si>
  <si>
    <t>Теплоизоляционные, кровельные...: Уч.-метод. пос. / В.Н.Черноиван - М:ИНФРА-М, Нов. знание,2023 - 272с.(П)</t>
  </si>
  <si>
    <t>ТЕПЛОИЗОЛЯЦИОННЫЕ, КРОВЕЛЬНЫЕ И ОТДЕЛОЧНЫЕ РАБОТЫ</t>
  </si>
  <si>
    <t>978-5-16-010303-7</t>
  </si>
  <si>
    <t>307700.02.01</t>
  </si>
  <si>
    <t>Теплотехнологическое обеспеч. кач...: Уч.-метод. пос./Я.Н.Ковалев-М:ИНФРА-М;Мн.:Нов. знан.,2019-303с</t>
  </si>
  <si>
    <t>ТЕПЛОТЕХНОЛОГИЧЕСКОЕ ОБЕСПЕЧЕНИЕ КАЧЕСТВА СТРОИТЕЛЬСТВА ДОРОЖНЫХ АСФАЛЬТОБЕТОННЫХ ПОКРЫТИЙ</t>
  </si>
  <si>
    <t>Ковалев Я. Н., Вербило И. Н., Кравченко С. Е., Ковалев Я. Н.</t>
  </si>
  <si>
    <t>978-5-16-010293-1</t>
  </si>
  <si>
    <t>632554.03.01</t>
  </si>
  <si>
    <t>Техническая механика: Уч. / А.М.Михайлов - М.:НИЦ ИНФРА-М,2023-375с.(ВО:Бакалавриат)(П)</t>
  </si>
  <si>
    <t>ТЕХНИЧЕСКАЯ МЕХАНИКА</t>
  </si>
  <si>
    <t>Михайлов А.М.</t>
  </si>
  <si>
    <t>978-5-16-012030-0</t>
  </si>
  <si>
    <t>Самарский государственный экономический университет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</si>
  <si>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</si>
  <si>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</si>
  <si>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</si>
  <si>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</si>
  <si>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</si>
  <si>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</si>
  <si>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</si>
  <si>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</si>
  <si>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</si>
  <si>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</si>
  <si>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</si>
  <si>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</si>
  <si>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</si>
  <si>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</si>
  <si>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</si>
  <si>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</si>
  <si>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</si>
  <si>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666734.05.01</t>
  </si>
  <si>
    <t>Техническая эксплуатация зданий: Уч.пос. / В.М.Лебедев - М.:НИЦ ИНФРА-М,2023 - 360 с.-(ВО)(П)</t>
  </si>
  <si>
    <t>Высшее образование (РЭУ)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</si>
  <si>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</si>
  <si>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</si>
  <si>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</si>
  <si>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</si>
  <si>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</si>
  <si>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</si>
  <si>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</si>
  <si>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</si>
  <si>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</si>
  <si>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</si>
  <si>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805935.01.01</t>
  </si>
  <si>
    <t>Технологии и техника для созд.эколог.чистых..: Моногр./ Б.С.Ксенофонтов-М.:НИЦ ИНФРА-М,2024.-239 с.(п)</t>
  </si>
  <si>
    <t>ТЕХНОЛОГИИ И ТЕХНИКА ДЛЯ СОЗДАНИЯ ЭКОЛОГИЧЕСКИ ЧИСТЫХ И БЕЗОТХОДНЫХ БИОТЕХНОЛОГИЧЕСКИХ ПРОИЗВОДСТВ</t>
  </si>
  <si>
    <t>978-5-16-018700-6</t>
  </si>
  <si>
    <t>05.04.06, 12.04.04, 19.04.01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</si>
  <si>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</si>
  <si>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</si>
  <si>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</si>
  <si>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</si>
  <si>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</si>
  <si>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347500.06.01</t>
  </si>
  <si>
    <t>Технология возвед.высотных монолит.железобет.здан.: Уч. / Н.И.Доркин - М.:Форум, НИЦ ИНФРА-М,2023-240с(О)</t>
  </si>
  <si>
    <t>ТЕХНОЛОГИЯ ВОЗВЕДЕНИЯ ВЫСОТНЫХ МОНОЛИТНЫХ ЖЕЛЕЗОБЕТОННЫХ ЗДАНИЙ</t>
  </si>
  <si>
    <t>Доркин Н.И., Зубанов С.В.</t>
  </si>
  <si>
    <t>978-5-00091-057-3</t>
  </si>
  <si>
    <t>Рекомендовано в качестве учебно-методического пособия для студентов высших учебных заведений, обучающихся по специальности 270102.65 «Промышленное и гражданское строительство»</t>
  </si>
  <si>
    <t>668034.04.01</t>
  </si>
  <si>
    <t>Технология и мех. процессов городского строит.и хоз.: Уч.пос. / В.М.Лебедев - М.:НИЦ ИНФРА-М,2024-330с(П)</t>
  </si>
  <si>
    <t>ТЕХНОЛОГИЯ И МЕХАНИЗАЦИЯ ПРОЦЕССОВ ГОРОДСКОГО СТРОИТЕЛЬСТВА И ХОЗЯЙСТВА</t>
  </si>
  <si>
    <t>978-5-16-013564-9</t>
  </si>
  <si>
    <t>08.03.01, 08.04.01, 21.03.02, 35.03.10</t>
  </si>
  <si>
    <t>713933.02.01</t>
  </si>
  <si>
    <t>Технология и механизация проц.город.строит. и хоз.:Уч.пос. / В.М.Лебедев-М.:НИЦ ИНФРА-М,2023-329с(П)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</si>
  <si>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</si>
  <si>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</si>
  <si>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</si>
  <si>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</si>
  <si>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</si>
  <si>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</si>
  <si>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</si>
  <si>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</si>
  <si>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666547.01.01</t>
  </si>
  <si>
    <t>Технология и орг. строит. город. зданий и сооруж.: Уч.пос. / В.М.Лебедев-М.:НИЦ ИНФРА-М,2024.-193 с.(ВО)(п)</t>
  </si>
  <si>
    <t>ТЕХНОЛОГИЯ И ОРГАНИЗАЦИЯ СТРОИТЕЛЬСТВА ГОРОДСКИХ ЗДАНИЙ И СООРУЖЕНИЙ</t>
  </si>
  <si>
    <t>978-5-16-013558-8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</si>
  <si>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</si>
  <si>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</si>
  <si>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</si>
  <si>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</si>
  <si>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</si>
  <si>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666551.05.01</t>
  </si>
  <si>
    <t>Технология и орган. произв. реконст. и рем. зданий: Уч.пос. / В.М.Лебедев - М.:НИЦ ИНФРА-М,2024-215с(П)</t>
  </si>
  <si>
    <t>978-5-16-013562-5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</si>
  <si>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5 от 11.03.2019)</t>
  </si>
  <si>
    <t>669466.05.01</t>
  </si>
  <si>
    <t>Технология и применение специальных бетонов: Уч.пос. / В.А.Шевченко-М.:НИЦ ИНФРА-М, СФУ,2023.-202с(П)</t>
  </si>
  <si>
    <t>ТЕХНОЛОГИЯ И ПРИМЕНЕНИЕ СПЕЦИАЛЬНЫХ БЕТОНОВ</t>
  </si>
  <si>
    <t>Шевченко В.А.</t>
  </si>
  <si>
    <t>978-5-16-016530-1</t>
  </si>
  <si>
    <t>634144.06.01</t>
  </si>
  <si>
    <t>Технология изоляцион. и строит. матер. и изд.: Уч.пос. / О.А.Игнатова-М:НИЦ ИНФРА-М,2024-472с(ВО)(П)</t>
  </si>
  <si>
    <t>ТЕХНОЛОГИЯ ИЗОЛЯЦИОННЫХ И СТРОИТЕЛЬНЫХ МАТЕРИАЛОВ И ИЗДЕЛИЙ</t>
  </si>
  <si>
    <t>Игнатова О.А., Завадская Л.В.</t>
  </si>
  <si>
    <t>978-5-16-012103-1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</si>
  <si>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</si>
  <si>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</si>
  <si>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</si>
  <si>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</si>
  <si>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</si>
  <si>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</si>
  <si>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</si>
  <si>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776443.01.01</t>
  </si>
  <si>
    <t>Технология реконструкции зданий и сооружений: Моногр. / С.Н.Леонович-М.:НИЦ ИНФРА-М,2023.-521 с.(П)</t>
  </si>
  <si>
    <t>ТЕХНОЛОГИЯ РЕКОНСТРУКЦИИ ЗДАНИЙ И СООРУЖЕНИЙ</t>
  </si>
  <si>
    <t>Леонович С.Н., Черноиван В.Н., Черноиван Н.В.</t>
  </si>
  <si>
    <t>978-5-16-017689-5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</si>
  <si>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</si>
  <si>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</si>
  <si>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</si>
  <si>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</si>
  <si>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</si>
  <si>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</si>
  <si>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</si>
  <si>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668041.03.01</t>
  </si>
  <si>
    <t>Технология ремонтных работ зданий и их инж. сис: Уч.пос. / В.М.Лебедев-М.:НИЦ ИНФРА-М,2024.-210 с.(ВО)(п)</t>
  </si>
  <si>
    <t>ТЕХНОЛОГИЯ РЕМОНТНЫХ РАБОТ ЗДАНИЙ И ИХ ИНЖЕНЕРНЫХ СИСТЕМ</t>
  </si>
  <si>
    <t>978-5-16-013563-2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</si>
  <si>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4 от 21.04.2021)</t>
  </si>
  <si>
    <t>656368.02.01</t>
  </si>
  <si>
    <t>Технология спец. бетонов на серном и серобитумном вяжущих: Уч.пос. / Б.А.Усов-М.:НИЦ ИНФРА-М,2023.-260с(О)</t>
  </si>
  <si>
    <t>ТЕХНОЛОГИЯ СПЕЦИАЛЬНЫХ БЕТОНОВ НА СЕРНОМ И СЕРОБИТУМНОМ ВЯЖУЩИХ</t>
  </si>
  <si>
    <t>Усов Б.А., Горбунова Т.Н.</t>
  </si>
  <si>
    <t>978-5-16-014541-9</t>
  </si>
  <si>
    <t>178300.10.01</t>
  </si>
  <si>
    <t>Технология строительства дорог. Практикум: Уч. / Ю.Г.Бабаскин - М.:НИЦ ИНФРА-М,2024 - 429 с.(ВО)(П)</t>
  </si>
  <si>
    <t>ТЕХНОЛОГИЯ СТРОИТЕЛЬСТВА ДОРОГ. ПРАКТИКУМ</t>
  </si>
  <si>
    <t>Бабаскин Ю. Г., Леонович И. И.</t>
  </si>
  <si>
    <t>978-5-16-019731-9</t>
  </si>
  <si>
    <t>Допущено Министерством образования Республики Беларусь в качестве учебного пособия для студентов высших учебных заведений специальности "Экономика и организация производства (автодорожное хозяйство)"</t>
  </si>
  <si>
    <t>154300.11.01</t>
  </si>
  <si>
    <t>Технология твердых бытовых отходов: Уч. / Л.Я. Шубов - М.: Альфа-М, 2024-400 с.(Технолог. сервис) (п)</t>
  </si>
  <si>
    <t>ТЕХНОЛОГИЯ ТВЕРДЫХ БЫТОВЫХ ОТХОДОВ</t>
  </si>
  <si>
    <t>Шубов Л. Я., Ставровский М. Е., Олейник А. В.</t>
  </si>
  <si>
    <t>Альфа-М</t>
  </si>
  <si>
    <t>Технологический сервис</t>
  </si>
  <si>
    <t>978-5-98281-255-1</t>
  </si>
  <si>
    <t>43.03.01, 43.04.01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</si>
  <si>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</si>
  <si>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</si>
  <si>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757876.02.01</t>
  </si>
  <si>
    <t>Технология твердых бытовых отходов: Уч. / Л.Я.Шубов - М.:НИЦ ИНФРА-М,2022 - 395 с.(СПО)(П)</t>
  </si>
  <si>
    <t>Шубов Л.Я., Ставровский М.Е., Олейник А.В.</t>
  </si>
  <si>
    <t>978-5-16-016937-8</t>
  </si>
  <si>
    <t>08.02.14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</si>
  <si>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</si>
  <si>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</si>
  <si>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</si>
  <si>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</si>
  <si>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</si>
  <si>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</si>
  <si>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</si>
  <si>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430650.08.01</t>
  </si>
  <si>
    <t>Управление техн.экспл.зданий и..: Уч.пос. / Н.Я.Кузин - 2 изд. - М.:НИЦ ИНФРА-М,2024-156с.(ВО:Бакалавр.)(п)</t>
  </si>
  <si>
    <t>978-5-16-005638-8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</si>
  <si>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08.03.01 «Строительство» (квалификация (степень) «бакалавр») (протокол № 8 от 29.04.2019)</t>
  </si>
  <si>
    <t>641265.02.01</t>
  </si>
  <si>
    <t>Урболандшафты на овражно-балочном рельефе: Моногр. / И.М.Евграфова - М.:НИЦ ИНФРА-М,2023 - 335 с.(П)</t>
  </si>
  <si>
    <t>УРБОЛАНДШАФТЫ НА ОВРАЖНО-БАЛОЧНОМ РЕЛЬЕФЕ</t>
  </si>
  <si>
    <t>Евграфова И.М.</t>
  </si>
  <si>
    <t>978-5-16-014305-7</t>
  </si>
  <si>
    <t>660920.04.01</t>
  </si>
  <si>
    <t>Урбоэкодиагностика и сбалансиров.развитие Москвы: Моногр./ И.В.Ивашкина-М.:НИЦ ИНФРА-М,2023-202с(П)</t>
  </si>
  <si>
    <t>УРБОЭКОДИАГНОСТИКА И СБАЛАНСИРОВАННОЕ РАЗВИТИЕ МОСКВЫ</t>
  </si>
  <si>
    <t>Ивашкина И.В., Кочуров Б.И.</t>
  </si>
  <si>
    <t>978-5-16-013019-4</t>
  </si>
  <si>
    <t>07.03.01, 07.03.04, 07.04.04, 08.03.01</t>
  </si>
  <si>
    <t>Научно-исследовательский и проектный институт Генерального плана города Москвы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</si>
  <si>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</si>
  <si>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</si>
  <si>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</si>
  <si>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</si>
  <si>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Научная книга</t>
  </si>
  <si>
    <t>978-5-9558-0495-8</t>
  </si>
  <si>
    <t>07.04.04</t>
  </si>
  <si>
    <t>Финансовый университет при Правительстве Российской Федерации, Смоленский ф-л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</si>
  <si>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</si>
  <si>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</si>
  <si>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</si>
  <si>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</si>
  <si>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Научная мысль - Финансовый университет</t>
  </si>
  <si>
    <t>978-5-16-015368-1</t>
  </si>
  <si>
    <t>798955.01.01</t>
  </si>
  <si>
    <t>Флотокомбайны для очистки сточных вод с...: Моногр. / Б.С.Ксенофонтов-М.:НИЦ ИНФРА-М,2023.-184 с.(о)</t>
  </si>
  <si>
    <t>ФЛОТОКОМБАЙНЫ ДЛЯ ОЧИСТКИ СТОЧНЫХ ВОД С НЕСКОЛЬКИМИ РАБОЧИМИ ЖИДКОСТЯМИ</t>
  </si>
  <si>
    <t>978-5-16-018246-9</t>
  </si>
  <si>
    <t>08.04.01, 20.04.02, 20.06.01, 20.07.01, 22.04.01</t>
  </si>
  <si>
    <t>351300.06.01</t>
  </si>
  <si>
    <t>Формирование доступной среды жилищного фонда: Моногр./А.И.Романова-НИЦ ИНФРА-М,2023-157с(Науч.мысль)</t>
  </si>
  <si>
    <t>ФОРМИРОВАНИЕ ДОСТУПНОЙ СРЕДЫ ЖИЛИЩНОГО ФОНДА</t>
  </si>
  <si>
    <t>Романова А.И., Буркеев Д.О.</t>
  </si>
  <si>
    <t>978-5-16-010866-7</t>
  </si>
  <si>
    <t>07.03.04, 07.04.04, 08.03.01, 08.04.01, 21.03.02, 21.04.02</t>
  </si>
  <si>
    <t>390700.07.01</t>
  </si>
  <si>
    <t>Химизация бетона: Уч.пос. / Б.А.Усов - М.:НИЦ ИНФРА-М,2023 - 381 с.(ВО: Бакалавриат)(П)</t>
  </si>
  <si>
    <t>ХИМИЗАЦИЯ БЕТОНА</t>
  </si>
  <si>
    <t>978-5-16-011197-1</t>
  </si>
  <si>
    <t>773091.01.01</t>
  </si>
  <si>
    <t>Химические и физико-химич. способы очистки сточных...: Моногр. / Б.С.Ксенофонтов-М.:НИЦ ИНФРА-М,2023.-321 с.(О)</t>
  </si>
  <si>
    <t>ХИМИЧЕСКИЕ И ФИЗИКО-ХИМИЧЕСКИЕ СПОСОБЫ ОЧИСТКИ СТОЧНЫХ И ТЕХНОГЕННЫХ  ВОД</t>
  </si>
  <si>
    <t>978-5-16-017605-5</t>
  </si>
  <si>
    <t>18.03.01, 18.03.02, 20.03.01, 20.03.02, 20.04.01, 20.06.01, 22.04.01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</si>
  <si>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</si>
  <si>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</si>
  <si>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</si>
  <si>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</si>
  <si>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</si>
  <si>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</si>
  <si>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</si>
  <si>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335600.07.01</t>
  </si>
  <si>
    <t>Химия и технология цемента: Уч.пос. / Б.А.Усов-2 изд.-М.:НИЦ ИНФРА-М,2024.-158 с.(ВО: Бакалавр.)(п)</t>
  </si>
  <si>
    <t>ХИМИЯ И ТЕХНОЛОГИЯ ЦЕМЕНТА, ИЗД.2</t>
  </si>
  <si>
    <t>978-5-16-010678-6</t>
  </si>
  <si>
    <t>Рекомендовано для студентов высших учебных заведений, обучающихся по направлению подготовки 08.03.01 (270800) '¦Строительство", профиль "Производство и применение строительных материалов, изделий и конструкций" (квалификация (степень) «бакалавр»)</t>
  </si>
  <si>
    <t>258300.12.01</t>
  </si>
  <si>
    <t>Чертеж архитект.сооруж.в ортогон.проекц: Уч.пос./И.А.Максимова-КУРС,НИЦ ИНФРА-М,2023-112с-(Бакал)(О)</t>
  </si>
  <si>
    <t>ЧЕРТЕЖ АРХИТЕКТУРНОГО СООРУЖЕНИЯ В ОРТОГОНАЛЬНЫХ ПРОЕКЦИЯХ</t>
  </si>
  <si>
    <t>Максимова И. А., Лисенкова Ю. В.</t>
  </si>
  <si>
    <t>Бакалавриат</t>
  </si>
  <si>
    <t>978-5-905554-50-6</t>
  </si>
  <si>
    <t>07.02.01, 07.03.01, 07.03.02, 07.03.03, 07.03.04, 08.03.01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</si>
  <si>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</si>
  <si>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646430.03.01</t>
  </si>
  <si>
    <t>Экологическая безопасность строит. матер.: Уч.пос. / Н.И.Зубрев - М.:НИЦ ИНФРА-М,2023 - 195 с.(ВО)(П)</t>
  </si>
  <si>
    <t>ЭКОЛОГИЧЕСКАЯ БЕЗОПАСНОСТЬ СТРОИТЕЛЬНЫХ МАТЕРИАЛОВ</t>
  </si>
  <si>
    <t>Зубрев Н.И., Устинова М.В.</t>
  </si>
  <si>
    <t>978-5-16-015019-2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</si>
  <si>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08.04.01 «Строительство» (квалификация (степень) «магистр») (протокол № 11 от 09.11.2020)</t>
  </si>
  <si>
    <t>Российский университет транспорта (МИИТ)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</si>
  <si>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</si>
  <si>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</si>
  <si>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</si>
  <si>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</si>
  <si>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</si>
  <si>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</si>
  <si>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</si>
  <si>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</si>
  <si>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</si>
  <si>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</si>
  <si>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</si>
  <si>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</si>
  <si>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</si>
  <si>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</si>
  <si>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</si>
  <si>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</si>
  <si>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Савельева Е.А.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</si>
  <si>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</si>
  <si>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</si>
  <si>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</si>
  <si>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Научно-исследовательский институт труда и социального развития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</si>
  <si>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</si>
  <si>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</si>
  <si>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</si>
  <si>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</si>
  <si>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</si>
  <si>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</si>
  <si>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</si>
  <si>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</si>
  <si>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</si>
  <si>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</si>
  <si>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</si>
  <si>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</si>
  <si>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0211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</si>
  <si>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</si>
  <si>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</si>
  <si>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</si>
  <si>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</si>
  <si>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</si>
  <si>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</si>
  <si>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</si>
  <si>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</si>
  <si>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</si>
  <si>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</si>
  <si>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</si>
  <si>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38.03.01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</si>
  <si>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</si>
  <si>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</si>
  <si>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</si>
  <si>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</si>
  <si>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</si>
  <si>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</si>
  <si>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38.03.01, 38.04.01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</si>
  <si>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</si>
  <si>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</si>
  <si>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</si>
  <si>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</si>
  <si>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</si>
  <si>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</si>
  <si>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</si>
  <si>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</si>
  <si>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</si>
  <si>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</si>
  <si>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</si>
  <si>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</si>
  <si>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</si>
  <si>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</si>
  <si>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</si>
  <si>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</si>
  <si>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</si>
  <si>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</si>
  <si>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</si>
  <si>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</si>
  <si>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</si>
  <si>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Сибикин Ю.Д.</t>
  </si>
  <si>
    <t>978-5-16-013093-4</t>
  </si>
  <si>
    <t>13.02.07, 13.02.09, 13.02.12, 13.02.13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</si>
  <si>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</si>
  <si>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0518</t>
  </si>
  <si>
    <t>769155.02.01</t>
  </si>
  <si>
    <t>Энергетическая эффектив. строит. сис.: Моногр. / А.Д.Жуков.-М.:НИЦ ИНФРА-М,2023.-329 с.(Науч.мысль)(О)</t>
  </si>
  <si>
    <t>ЭНЕРГЕТИЧЕСКАЯ ЭФФЕКТИВНОСТЬ СТРОИТЕЛЬНЫХ СИСТЕМ</t>
  </si>
  <si>
    <t>Жуков А.Д., Боброва Е.Ю., Бессонов И.В. и др.</t>
  </si>
  <si>
    <t>978-5-16-017479-2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</si>
  <si>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</si>
  <si>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</si>
  <si>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</si>
  <si>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</si>
  <si>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</si>
  <si>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</si>
  <si>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767829.01.01</t>
  </si>
  <si>
    <t>Южнофранцузская готика: Моногр. / И.И.Орлов-М.:НИЦ ИНФРА-М,2023.-426 с.(Науч.мысль)(П)</t>
  </si>
  <si>
    <t>ЮЖНОФРАНЦУЗСКАЯ ГОТИКА</t>
  </si>
  <si>
    <t>Орлов И.И.</t>
  </si>
  <si>
    <t>978-5-16-017331-3</t>
  </si>
  <si>
    <t>07.04.01, 07.06.01</t>
  </si>
  <si>
    <t>Липецкий Государственный Технический Университет</t>
  </si>
  <si>
    <t>00.00.00</t>
  </si>
  <si>
    <t>ОБЩИЕ ДИСЦИПЛИНЫ ДЛЯ ВСЕХ СПЕЦИАЛЬНОСТЕЙ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</si>
  <si>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</si>
  <si>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</si>
  <si>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</si>
  <si>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</si>
  <si>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</si>
  <si>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</si>
  <si>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</si>
  <si>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</si>
  <si>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</si>
  <si>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</si>
  <si>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</si>
  <si>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</si>
  <si>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05.04.02</t>
  </si>
  <si>
    <t>05.04.04</t>
  </si>
  <si>
    <t>05.04.06</t>
  </si>
  <si>
    <t>Экология и природопользование</t>
  </si>
  <si>
    <t>06.00.00</t>
  </si>
  <si>
    <t>БИОЛОГИЧЕСКИЕ НАУКИ</t>
  </si>
  <si>
    <t>06.03.02</t>
  </si>
  <si>
    <t>Почвоведение</t>
  </si>
  <si>
    <t>06.04.02</t>
  </si>
  <si>
    <t>07.00.00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</si>
  <si>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</si>
  <si>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</si>
  <si>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</si>
  <si>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</si>
  <si>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</si>
  <si>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</si>
  <si>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</si>
  <si>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</si>
  <si>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</si>
  <si>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</si>
  <si>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</si>
  <si>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</si>
  <si>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</si>
  <si>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</si>
  <si>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</si>
  <si>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</si>
  <si>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</si>
  <si>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</si>
  <si>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</si>
  <si>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08.01.02</t>
  </si>
  <si>
    <t>Монтажник трубопроводов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</si>
  <si>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</si>
  <si>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</si>
  <si>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</si>
  <si>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</si>
  <si>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</si>
  <si>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</si>
  <si>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</si>
  <si>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</si>
  <si>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</si>
  <si>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</si>
  <si>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</si>
  <si>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</si>
  <si>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</si>
  <si>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</si>
  <si>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</si>
  <si>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</si>
  <si>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</si>
  <si>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</si>
  <si>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</si>
  <si>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</si>
  <si>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</si>
  <si>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</si>
  <si>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</si>
  <si>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</si>
  <si>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</si>
  <si>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</si>
  <si>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</si>
  <si>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</si>
  <si>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</si>
  <si>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</si>
  <si>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</si>
  <si>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</si>
  <si>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</si>
  <si>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</si>
  <si>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</si>
  <si>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</si>
  <si>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</si>
  <si>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</si>
  <si>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12.00.00</t>
  </si>
  <si>
    <t>ФОТОНИКА, ПРИБОРОСТРОЕНИЕ, ОПТИЧЕСКИЕ И БИОТЕХНИЧЕСКИЕ СИСТЕМЫ И ТЕХНОЛОГИИ</t>
  </si>
  <si>
    <t>12.04.04</t>
  </si>
  <si>
    <t>Биотехнические системы и технологии</t>
  </si>
  <si>
    <t>13.00.00</t>
  </si>
  <si>
    <t>ЭЛЕКТРО- И ТЕПЛОЭНЕРГЕТИКА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</si>
  <si>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</si>
  <si>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</si>
  <si>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</si>
  <si>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</si>
  <si>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</si>
  <si>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</si>
  <si>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</si>
  <si>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</si>
  <si>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</si>
  <si>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</si>
  <si>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</si>
  <si>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</si>
  <si>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</si>
  <si>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</si>
  <si>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</si>
  <si>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</si>
  <si>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13.04.02</t>
  </si>
  <si>
    <t>15.00.00</t>
  </si>
  <si>
    <t>МАШИНОСТРОЕНИЕ</t>
  </si>
  <si>
    <t>15.01.30</t>
  </si>
  <si>
    <t>Слесарь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</si>
  <si>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</si>
  <si>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</si>
  <si>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</si>
  <si>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</si>
  <si>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</si>
  <si>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</si>
  <si>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</si>
  <si>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</si>
  <si>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</si>
  <si>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</si>
  <si>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15.03.04</t>
  </si>
  <si>
    <t>Автоматизация технологических процессов и производств</t>
  </si>
  <si>
    <t>15.04.04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</si>
  <si>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</si>
  <si>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</si>
  <si>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</si>
  <si>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</si>
  <si>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</si>
  <si>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</si>
  <si>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</si>
  <si>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</si>
  <si>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</si>
  <si>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</si>
  <si>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</si>
  <si>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</si>
  <si>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</si>
  <si>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</si>
  <si>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</si>
  <si>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</si>
  <si>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</si>
  <si>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</si>
  <si>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</si>
  <si>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</si>
  <si>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</si>
  <si>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</si>
  <si>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18.01.35</t>
  </si>
  <si>
    <t>Аппаратчик-оператор производства химических соединений</t>
  </si>
  <si>
    <t>18.02.05</t>
  </si>
  <si>
    <t>Производство тугоплавких неметаллических и силикатных материалов и изделий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</si>
  <si>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</si>
  <si>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</si>
  <si>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</si>
  <si>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</si>
  <si>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</si>
  <si>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</si>
  <si>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</si>
  <si>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</si>
  <si>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</si>
  <si>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</si>
  <si>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</si>
  <si>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</si>
  <si>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</si>
  <si>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</si>
  <si>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19.04.01</t>
  </si>
  <si>
    <t>Биотехнология</t>
  </si>
  <si>
    <t>20.00.00</t>
  </si>
  <si>
    <t>ТЕХНОСФЕРНАЯ БЕЗОПАСНОСТЬ И ПРИРОДООБУСТРОЙСТВО</t>
  </si>
  <si>
    <t>20.01.01</t>
  </si>
  <si>
    <t>Пожарный</t>
  </si>
  <si>
    <t>20.02.04</t>
  </si>
  <si>
    <t>Пожарная безопасность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</si>
  <si>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</si>
  <si>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</si>
  <si>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</si>
  <si>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</si>
  <si>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</si>
  <si>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</si>
  <si>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</si>
  <si>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</si>
  <si>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</si>
  <si>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</si>
  <si>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</si>
  <si>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</si>
  <si>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</si>
  <si>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</si>
  <si>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</si>
  <si>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</si>
  <si>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</si>
  <si>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</si>
  <si>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</si>
  <si>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</si>
  <si>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</si>
  <si>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</si>
  <si>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</si>
  <si>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</si>
  <si>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</si>
  <si>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</si>
  <si>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</si>
  <si>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</si>
  <si>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</si>
  <si>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</si>
  <si>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</si>
  <si>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</si>
  <si>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</si>
  <si>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22.00.00</t>
  </si>
  <si>
    <t>ТЕХНОЛОГИИ МАТЕРИАЛОВ</t>
  </si>
  <si>
    <t>22.04.01</t>
  </si>
  <si>
    <t>Материаловедение и технологии материалов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</si>
  <si>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</si>
  <si>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</si>
  <si>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</si>
  <si>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</si>
  <si>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</si>
  <si>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</si>
  <si>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</si>
  <si>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</si>
  <si>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</si>
  <si>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</si>
  <si>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23.05.06</t>
  </si>
  <si>
    <t>27.00.00</t>
  </si>
  <si>
    <t>УПРАВЛЕНИЕ В ТЕХНИЧЕСКИХ СИСТЕМАХ</t>
  </si>
  <si>
    <t>27.03.02</t>
  </si>
  <si>
    <t>Управление качеством</t>
  </si>
  <si>
    <t>27.03.04</t>
  </si>
  <si>
    <t>Управление в технических системах</t>
  </si>
  <si>
    <t>35.00.00</t>
  </si>
  <si>
    <t>СЕЛЬСКОЕ, ЛЕСНОЕ И РЫБНОЕ ХОЗЯЙСТВО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</si>
  <si>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</si>
  <si>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</si>
  <si>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</si>
  <si>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</si>
  <si>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</si>
  <si>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</si>
  <si>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35.02.02</t>
  </si>
  <si>
    <t>Технология лесозаготовок</t>
  </si>
  <si>
    <t>Садово-парковое и ландшафтное строительство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</si>
  <si>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</si>
  <si>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</si>
  <si>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</si>
  <si>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</si>
  <si>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</si>
  <si>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</si>
  <si>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</si>
  <si>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</si>
  <si>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</si>
  <si>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</si>
  <si>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35.03.08</t>
  </si>
  <si>
    <t>Водные биоресурсы и аквакультура</t>
  </si>
  <si>
    <t>Ландшафтная архитектура</t>
  </si>
  <si>
    <t>35.04.02</t>
  </si>
  <si>
    <t>35.04.03</t>
  </si>
  <si>
    <t>35.04.06</t>
  </si>
  <si>
    <t>35.04.07</t>
  </si>
  <si>
    <t>35.04.09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</si>
  <si>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</si>
  <si>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</si>
  <si>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</si>
  <si>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</si>
  <si>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</si>
  <si>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</si>
  <si>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</si>
  <si>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</si>
  <si>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</si>
  <si>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</si>
  <si>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</si>
  <si>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</si>
  <si>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</si>
  <si>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</si>
  <si>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</si>
  <si>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</si>
  <si>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</si>
  <si>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</si>
  <si>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</si>
  <si>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</si>
  <si>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</si>
  <si>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</si>
  <si>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</si>
  <si>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</si>
  <si>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38.06.01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</si>
  <si>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</si>
  <si>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</si>
  <si>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</si>
  <si>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</si>
  <si>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</si>
  <si>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</si>
  <si>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</si>
  <si>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</si>
  <si>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43.00.00</t>
  </si>
  <si>
    <t>СЕРВИС И ТУРИЗМ</t>
  </si>
  <si>
    <t>43.03.01</t>
  </si>
  <si>
    <t>Сервис</t>
  </si>
  <si>
    <t>43.04.01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</si>
  <si>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</si>
  <si>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</si>
  <si>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</si>
  <si>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</si>
  <si>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</si>
  <si>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</si>
  <si>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</si>
  <si>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</si>
  <si>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</si>
  <si>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</si>
  <si>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</si>
  <si>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</si>
  <si>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</si>
  <si>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</si>
  <si>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50.00.00</t>
  </si>
  <si>
    <t>ИСКУССТВОЗНАНИЕ</t>
  </si>
  <si>
    <t>50.03.03</t>
  </si>
  <si>
    <t>История искусств</t>
  </si>
  <si>
    <t>50.04.03</t>
  </si>
  <si>
    <t>51.00.00</t>
  </si>
  <si>
    <t>КУЛЬТУРОВЕДЕНИЕ И СОЦИОКУЛЬТУРНЫЕ ПРОЕКТЫ</t>
  </si>
  <si>
    <t>51.03.02</t>
  </si>
  <si>
    <t>Народная художественная культура</t>
  </si>
  <si>
    <t>51.03.04</t>
  </si>
  <si>
    <t>Музеология и охрана объектов культурного и природного наследия</t>
  </si>
  <si>
    <t>51.04.04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</si>
  <si>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</si>
  <si>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</si>
  <si>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</si>
  <si>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</si>
  <si>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</si>
  <si>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</si>
  <si>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54.04.02</t>
  </si>
  <si>
    <t>Декоративно-прикладное искусство и народные промыслы</t>
  </si>
  <si>
    <t>54.04.04</t>
  </si>
  <si>
    <t>54.05.05</t>
  </si>
  <si>
    <t>Живопись и изящные искусства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</si>
</sst>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2080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452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 t="s">
        <v>46</v>
      </c>
      <c r="T8" s="6"/>
      <c r="U8" s="28" t="str">
        <f>HYPERLINK("https://media.infra-m.ru/2125/2125177/cover/2125177.jpg", "Обложка")</f>
        <v>Обложка</v>
      </c>
      <c r="V8" s="28" t="str">
        <f>HYPERLINK("https://znanium.ru/catalog/product/2125177", "Ознакомиться")</f>
        <v>Ознакомиться</v>
      </c>
      <c r="W8" s="8" t="s">
        <v>47</v>
      </c>
      <c r="X8" s="6"/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7">
        <v>1110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241</v>
      </c>
      <c r="L9" s="9">
        <v>2024</v>
      </c>
      <c r="M9" s="8" t="s">
        <v>55</v>
      </c>
      <c r="N9" s="8" t="s">
        <v>41</v>
      </c>
      <c r="O9" s="8" t="s">
        <v>42</v>
      </c>
      <c r="P9" s="6" t="s">
        <v>43</v>
      </c>
      <c r="Q9" s="8" t="s">
        <v>56</v>
      </c>
      <c r="R9" s="10" t="s">
        <v>57</v>
      </c>
      <c r="S9" s="11" t="s">
        <v>58</v>
      </c>
      <c r="T9" s="6" t="s">
        <v>59</v>
      </c>
      <c r="U9" s="28" t="str">
        <f>HYPERLINK("https://media.infra-m.ru/2110/2110025/cover/2110025.jpg", "Обложка")</f>
        <v>Обложка</v>
      </c>
      <c r="V9" s="28" t="str">
        <f>HYPERLINK("https://znanium.ru/catalog/product/2110025", "Ознакомиться")</f>
        <v>Ознакомиться</v>
      </c>
      <c r="W9" s="8" t="s">
        <v>60</v>
      </c>
      <c r="X9" s="6"/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860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67</v>
      </c>
      <c r="I10" s="8" t="s">
        <v>68</v>
      </c>
      <c r="J10" s="9">
        <v>1</v>
      </c>
      <c r="K10" s="9">
        <v>192</v>
      </c>
      <c r="L10" s="9">
        <v>2023</v>
      </c>
      <c r="M10" s="8" t="s">
        <v>69</v>
      </c>
      <c r="N10" s="8" t="s">
        <v>41</v>
      </c>
      <c r="O10" s="8" t="s">
        <v>42</v>
      </c>
      <c r="P10" s="6" t="s">
        <v>70</v>
      </c>
      <c r="Q10" s="8" t="s">
        <v>71</v>
      </c>
      <c r="R10" s="10" t="s">
        <v>72</v>
      </c>
      <c r="S10" s="11" t="s">
        <v>73</v>
      </c>
      <c r="T10" s="6" t="s">
        <v>59</v>
      </c>
      <c r="U10" s="28" t="str">
        <f>HYPERLINK("https://media.infra-m.ru/1975/1975161/cover/1975161.jpg", "Обложка")</f>
        <v>Обложка</v>
      </c>
      <c r="V10" s="28" t="str">
        <f>HYPERLINK("https://znanium.ru/catalog/product/1975161", "Ознакомиться")</f>
        <v>Ознакомиться</v>
      </c>
      <c r="W10" s="8" t="s">
        <v>74</v>
      </c>
      <c r="X10" s="6"/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7">
        <v>1170</v>
      </c>
      <c r="D11" s="8" t="s">
        <v>77</v>
      </c>
      <c r="E11" s="8" t="s">
        <v>78</v>
      </c>
      <c r="F11" s="8" t="s">
        <v>79</v>
      </c>
      <c r="G11" s="6" t="s">
        <v>66</v>
      </c>
      <c r="H11" s="6" t="s">
        <v>67</v>
      </c>
      <c r="I11" s="8" t="s">
        <v>68</v>
      </c>
      <c r="J11" s="9">
        <v>1</v>
      </c>
      <c r="K11" s="9">
        <v>238</v>
      </c>
      <c r="L11" s="9">
        <v>2023</v>
      </c>
      <c r="M11" s="8" t="s">
        <v>80</v>
      </c>
      <c r="N11" s="8" t="s">
        <v>41</v>
      </c>
      <c r="O11" s="8" t="s">
        <v>42</v>
      </c>
      <c r="P11" s="6" t="s">
        <v>70</v>
      </c>
      <c r="Q11" s="8" t="s">
        <v>71</v>
      </c>
      <c r="R11" s="10" t="s">
        <v>81</v>
      </c>
      <c r="S11" s="11" t="s">
        <v>82</v>
      </c>
      <c r="T11" s="6"/>
      <c r="U11" s="28" t="str">
        <f>HYPERLINK("https://media.infra-m.ru/1895/1895682/cover/1895682.jpg", "Обложка")</f>
        <v>Обложка</v>
      </c>
      <c r="V11" s="28" t="str">
        <f>HYPERLINK("https://znanium.ru/catalog/product/1895682", "Ознакомиться")</f>
        <v>Ознакомиться</v>
      </c>
      <c r="W11" s="8" t="s">
        <v>74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13">
        <v>990</v>
      </c>
      <c r="D12" s="8" t="s">
        <v>85</v>
      </c>
      <c r="E12" s="8" t="s">
        <v>86</v>
      </c>
      <c r="F12" s="8" t="s">
        <v>87</v>
      </c>
      <c r="G12" s="6" t="s">
        <v>66</v>
      </c>
      <c r="H12" s="6" t="s">
        <v>67</v>
      </c>
      <c r="I12" s="8" t="s">
        <v>68</v>
      </c>
      <c r="J12" s="9">
        <v>1</v>
      </c>
      <c r="K12" s="9">
        <v>219</v>
      </c>
      <c r="L12" s="9">
        <v>2023</v>
      </c>
      <c r="M12" s="8" t="s">
        <v>88</v>
      </c>
      <c r="N12" s="8" t="s">
        <v>41</v>
      </c>
      <c r="O12" s="8" t="s">
        <v>42</v>
      </c>
      <c r="P12" s="6" t="s">
        <v>70</v>
      </c>
      <c r="Q12" s="8" t="s">
        <v>71</v>
      </c>
      <c r="R12" s="10" t="s">
        <v>89</v>
      </c>
      <c r="S12" s="11" t="s">
        <v>90</v>
      </c>
      <c r="T12" s="6"/>
      <c r="U12" s="28" t="str">
        <f>HYPERLINK("https://media.infra-m.ru/1937/1937948/cover/1937948.jpg", "Обложка")</f>
        <v>Обложка</v>
      </c>
      <c r="V12" s="28" t="str">
        <f>HYPERLINK("https://znanium.ru/catalog/product/1937948", "Ознакомиться")</f>
        <v>Ознакомиться</v>
      </c>
      <c r="W12" s="8" t="s">
        <v>74</v>
      </c>
      <c r="X12" s="6"/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91</v>
      </c>
      <c r="C13" s="7">
        <v>1254</v>
      </c>
      <c r="D13" s="8" t="s">
        <v>92</v>
      </c>
      <c r="E13" s="8" t="s">
        <v>93</v>
      </c>
      <c r="F13" s="8" t="s">
        <v>94</v>
      </c>
      <c r="G13" s="6" t="s">
        <v>66</v>
      </c>
      <c r="H13" s="6" t="s">
        <v>67</v>
      </c>
      <c r="I13" s="8" t="s">
        <v>95</v>
      </c>
      <c r="J13" s="9">
        <v>1</v>
      </c>
      <c r="K13" s="9">
        <v>262</v>
      </c>
      <c r="L13" s="9">
        <v>2024</v>
      </c>
      <c r="M13" s="8" t="s">
        <v>96</v>
      </c>
      <c r="N13" s="8" t="s">
        <v>41</v>
      </c>
      <c r="O13" s="8" t="s">
        <v>42</v>
      </c>
      <c r="P13" s="6" t="s">
        <v>43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HYPERLINK("https://media.infra-m.ru/2152/2152133/cover/2152133.jpg", "Обложка")</f>
        <v>Обложка</v>
      </c>
      <c r="V13" s="28" t="str">
        <f>HYPERLINK("https://znanium.ru/catalog/product/1841660",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1150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67</v>
      </c>
      <c r="I14" s="8" t="s">
        <v>106</v>
      </c>
      <c r="J14" s="9">
        <v>1</v>
      </c>
      <c r="K14" s="9">
        <v>244</v>
      </c>
      <c r="L14" s="9">
        <v>2023</v>
      </c>
      <c r="M14" s="8" t="s">
        <v>107</v>
      </c>
      <c r="N14" s="8" t="s">
        <v>108</v>
      </c>
      <c r="O14" s="8" t="s">
        <v>109</v>
      </c>
      <c r="P14" s="6" t="s">
        <v>110</v>
      </c>
      <c r="Q14" s="8" t="s">
        <v>111</v>
      </c>
      <c r="R14" s="10" t="s">
        <v>112</v>
      </c>
      <c r="S14" s="11"/>
      <c r="T14" s="6"/>
      <c r="U14" s="28" t="str">
        <f>HYPERLINK("https://media.infra-m.ru/1903/1903337/cover/1903337.jpg", "Обложка")</f>
        <v>Обложка</v>
      </c>
      <c r="V14" s="28" t="str">
        <f>HYPERLINK("https://znanium.ru/catalog/product/1903337", "Ознакомиться")</f>
        <v>Ознакомиться</v>
      </c>
      <c r="W14" s="8" t="s">
        <v>113</v>
      </c>
      <c r="X14" s="6" t="s">
        <v>114</v>
      </c>
      <c r="Y14" s="6"/>
      <c r="Z14" s="6"/>
      <c r="AA14" s="6" t="s">
        <v>115</v>
      </c>
    </row>
    <row r="15" spans="1:27" s="4" customFormat="1" ht="51.95" customHeight="1">
      <c r="A15" s="5">
        <v>0</v>
      </c>
      <c r="B15" s="6" t="s">
        <v>116</v>
      </c>
      <c r="C15" s="7">
        <v>1364</v>
      </c>
      <c r="D15" s="8" t="s">
        <v>117</v>
      </c>
      <c r="E15" s="8" t="s">
        <v>118</v>
      </c>
      <c r="F15" s="8" t="s">
        <v>119</v>
      </c>
      <c r="G15" s="6" t="s">
        <v>66</v>
      </c>
      <c r="H15" s="6" t="s">
        <v>67</v>
      </c>
      <c r="I15" s="8" t="s">
        <v>39</v>
      </c>
      <c r="J15" s="9">
        <v>1</v>
      </c>
      <c r="K15" s="9">
        <v>302</v>
      </c>
      <c r="L15" s="9">
        <v>2023</v>
      </c>
      <c r="M15" s="8" t="s">
        <v>120</v>
      </c>
      <c r="N15" s="8" t="s">
        <v>121</v>
      </c>
      <c r="O15" s="8" t="s">
        <v>122</v>
      </c>
      <c r="P15" s="6" t="s">
        <v>70</v>
      </c>
      <c r="Q15" s="8" t="s">
        <v>44</v>
      </c>
      <c r="R15" s="10" t="s">
        <v>123</v>
      </c>
      <c r="S15" s="11" t="s">
        <v>124</v>
      </c>
      <c r="T15" s="6"/>
      <c r="U15" s="28" t="str">
        <f>HYPERLINK("https://media.infra-m.ru/2006/2006095/cover/2006095.jpg", "Обложка")</f>
        <v>Обложка</v>
      </c>
      <c r="V15" s="28" t="str">
        <f>HYPERLINK("https://znanium.ru/catalog/product/2006095", "Ознакомиться")</f>
        <v>Ознакомиться</v>
      </c>
      <c r="W15" s="8" t="s">
        <v>125</v>
      </c>
      <c r="X15" s="6"/>
      <c r="Y15" s="6"/>
      <c r="Z15" s="6"/>
      <c r="AA15" s="6" t="s">
        <v>126</v>
      </c>
    </row>
    <row r="16" spans="1:27" s="4" customFormat="1" ht="51.95" customHeight="1">
      <c r="A16" s="5">
        <v>0</v>
      </c>
      <c r="B16" s="6" t="s">
        <v>127</v>
      </c>
      <c r="C16" s="7">
        <v>1090</v>
      </c>
      <c r="D16" s="8" t="s">
        <v>128</v>
      </c>
      <c r="E16" s="8" t="s">
        <v>118</v>
      </c>
      <c r="F16" s="8" t="s">
        <v>119</v>
      </c>
      <c r="G16" s="6" t="s">
        <v>66</v>
      </c>
      <c r="H16" s="6" t="s">
        <v>67</v>
      </c>
      <c r="I16" s="8" t="s">
        <v>68</v>
      </c>
      <c r="J16" s="9">
        <v>1</v>
      </c>
      <c r="K16" s="9">
        <v>302</v>
      </c>
      <c r="L16" s="9">
        <v>2021</v>
      </c>
      <c r="M16" s="8" t="s">
        <v>129</v>
      </c>
      <c r="N16" s="8" t="s">
        <v>121</v>
      </c>
      <c r="O16" s="8" t="s">
        <v>122</v>
      </c>
      <c r="P16" s="6" t="s">
        <v>70</v>
      </c>
      <c r="Q16" s="8" t="s">
        <v>71</v>
      </c>
      <c r="R16" s="10" t="s">
        <v>130</v>
      </c>
      <c r="S16" s="11" t="s">
        <v>131</v>
      </c>
      <c r="T16" s="6"/>
      <c r="U16" s="28" t="str">
        <f>HYPERLINK("https://media.infra-m.ru/1227/1227692/cover/1227692.jpg", "Обложка")</f>
        <v>Обложка</v>
      </c>
      <c r="V16" s="28" t="str">
        <f>HYPERLINK("https://znanium.ru/catalog/product/1227692", "Ознакомиться")</f>
        <v>Ознакомиться</v>
      </c>
      <c r="W16" s="8" t="s">
        <v>125</v>
      </c>
      <c r="X16" s="6"/>
      <c r="Y16" s="6"/>
      <c r="Z16" s="6" t="s">
        <v>132</v>
      </c>
      <c r="AA16" s="6" t="s">
        <v>126</v>
      </c>
    </row>
    <row r="17" spans="1:27" s="4" customFormat="1" ht="51.95" customHeight="1">
      <c r="A17" s="5">
        <v>0</v>
      </c>
      <c r="B17" s="6" t="s">
        <v>133</v>
      </c>
      <c r="C17" s="7">
        <v>1530</v>
      </c>
      <c r="D17" s="8" t="s">
        <v>134</v>
      </c>
      <c r="E17" s="8" t="s">
        <v>135</v>
      </c>
      <c r="F17" s="8" t="s">
        <v>136</v>
      </c>
      <c r="G17" s="6" t="s">
        <v>66</v>
      </c>
      <c r="H17" s="6" t="s">
        <v>67</v>
      </c>
      <c r="I17" s="8" t="s">
        <v>68</v>
      </c>
      <c r="J17" s="9">
        <v>1</v>
      </c>
      <c r="K17" s="9">
        <v>319</v>
      </c>
      <c r="L17" s="9">
        <v>2024</v>
      </c>
      <c r="M17" s="8" t="s">
        <v>137</v>
      </c>
      <c r="N17" s="8" t="s">
        <v>108</v>
      </c>
      <c r="O17" s="8" t="s">
        <v>109</v>
      </c>
      <c r="P17" s="6" t="s">
        <v>70</v>
      </c>
      <c r="Q17" s="8" t="s">
        <v>71</v>
      </c>
      <c r="R17" s="10" t="s">
        <v>138</v>
      </c>
      <c r="S17" s="11" t="s">
        <v>139</v>
      </c>
      <c r="T17" s="6"/>
      <c r="U17" s="28" t="str">
        <f>HYPERLINK("https://media.infra-m.ru/2084/2084111/cover/2084111.jpg", "Обложка")</f>
        <v>Обложка</v>
      </c>
      <c r="V17" s="28" t="str">
        <f>HYPERLINK("https://znanium.ru/catalog/product/2084111", "Ознакомиться")</f>
        <v>Ознакомиться</v>
      </c>
      <c r="W17" s="8" t="s">
        <v>140</v>
      </c>
      <c r="X17" s="6"/>
      <c r="Y17" s="6" t="s">
        <v>30</v>
      </c>
      <c r="Z17" s="6"/>
      <c r="AA17" s="6" t="s">
        <v>141</v>
      </c>
    </row>
    <row r="18" spans="1:27" s="4" customFormat="1" ht="42" customHeight="1">
      <c r="A18" s="5">
        <v>0</v>
      </c>
      <c r="B18" s="6" t="s">
        <v>142</v>
      </c>
      <c r="C18" s="7">
        <v>1900</v>
      </c>
      <c r="D18" s="8" t="s">
        <v>143</v>
      </c>
      <c r="E18" s="8" t="s">
        <v>144</v>
      </c>
      <c r="F18" s="8" t="s">
        <v>145</v>
      </c>
      <c r="G18" s="6" t="s">
        <v>37</v>
      </c>
      <c r="H18" s="6" t="s">
        <v>67</v>
      </c>
      <c r="I18" s="8" t="s">
        <v>106</v>
      </c>
      <c r="J18" s="9">
        <v>1</v>
      </c>
      <c r="K18" s="9">
        <v>412</v>
      </c>
      <c r="L18" s="9">
        <v>2024</v>
      </c>
      <c r="M18" s="8" t="s">
        <v>146</v>
      </c>
      <c r="N18" s="8" t="s">
        <v>108</v>
      </c>
      <c r="O18" s="8" t="s">
        <v>109</v>
      </c>
      <c r="P18" s="6" t="s">
        <v>110</v>
      </c>
      <c r="Q18" s="8" t="s">
        <v>111</v>
      </c>
      <c r="R18" s="10" t="s">
        <v>147</v>
      </c>
      <c r="S18" s="11"/>
      <c r="T18" s="6"/>
      <c r="U18" s="28" t="str">
        <f>HYPERLINK("https://media.infra-m.ru/2072/2072429/cover/2072429.jpg", "Обложка")</f>
        <v>Обложка</v>
      </c>
      <c r="V18" s="28" t="str">
        <f>HYPERLINK("https://znanium.ru/catalog/product/2072429", "Ознакомиться")</f>
        <v>Ознакомиться</v>
      </c>
      <c r="W18" s="8" t="s">
        <v>148</v>
      </c>
      <c r="X18" s="6"/>
      <c r="Y18" s="6"/>
      <c r="Z18" s="6"/>
      <c r="AA18" s="6" t="s">
        <v>126</v>
      </c>
    </row>
    <row r="19" spans="1:27" s="4" customFormat="1" ht="51.95" customHeight="1">
      <c r="A19" s="5">
        <v>0</v>
      </c>
      <c r="B19" s="6" t="s">
        <v>149</v>
      </c>
      <c r="C19" s="7">
        <v>1530</v>
      </c>
      <c r="D19" s="8" t="s">
        <v>150</v>
      </c>
      <c r="E19" s="8" t="s">
        <v>151</v>
      </c>
      <c r="F19" s="8" t="s">
        <v>152</v>
      </c>
      <c r="G19" s="6" t="s">
        <v>66</v>
      </c>
      <c r="H19" s="6" t="s">
        <v>67</v>
      </c>
      <c r="I19" s="8" t="s">
        <v>39</v>
      </c>
      <c r="J19" s="9">
        <v>1</v>
      </c>
      <c r="K19" s="9">
        <v>363</v>
      </c>
      <c r="L19" s="9">
        <v>2022</v>
      </c>
      <c r="M19" s="8" t="s">
        <v>153</v>
      </c>
      <c r="N19" s="8" t="s">
        <v>41</v>
      </c>
      <c r="O19" s="8" t="s">
        <v>42</v>
      </c>
      <c r="P19" s="6" t="s">
        <v>43</v>
      </c>
      <c r="Q19" s="8" t="s">
        <v>44</v>
      </c>
      <c r="R19" s="10" t="s">
        <v>154</v>
      </c>
      <c r="S19" s="11" t="s">
        <v>155</v>
      </c>
      <c r="T19" s="6"/>
      <c r="U19" s="28" t="str">
        <f>HYPERLINK("https://media.infra-m.ru/1855/1855813/cover/1855813.jpg", "Обложка")</f>
        <v>Обложка</v>
      </c>
      <c r="V19" s="28" t="str">
        <f>HYPERLINK("https://znanium.ru/catalog/product/1855813", "Ознакомиться")</f>
        <v>Ознакомиться</v>
      </c>
      <c r="W19" s="8" t="s">
        <v>156</v>
      </c>
      <c r="X19" s="6"/>
      <c r="Y19" s="6"/>
      <c r="Z19" s="6"/>
      <c r="AA19" s="6" t="s">
        <v>157</v>
      </c>
    </row>
    <row r="20" spans="1:27" s="4" customFormat="1" ht="51.95" customHeight="1">
      <c r="A20" s="5">
        <v>0</v>
      </c>
      <c r="B20" s="6" t="s">
        <v>158</v>
      </c>
      <c r="C20" s="7">
        <v>1759</v>
      </c>
      <c r="D20" s="8" t="s">
        <v>159</v>
      </c>
      <c r="E20" s="8" t="s">
        <v>160</v>
      </c>
      <c r="F20" s="8" t="s">
        <v>145</v>
      </c>
      <c r="G20" s="6" t="s">
        <v>66</v>
      </c>
      <c r="H20" s="6" t="s">
        <v>67</v>
      </c>
      <c r="I20" s="8" t="s">
        <v>54</v>
      </c>
      <c r="J20" s="9">
        <v>1</v>
      </c>
      <c r="K20" s="9">
        <v>373</v>
      </c>
      <c r="L20" s="9">
        <v>2023</v>
      </c>
      <c r="M20" s="8" t="s">
        <v>161</v>
      </c>
      <c r="N20" s="8" t="s">
        <v>108</v>
      </c>
      <c r="O20" s="8" t="s">
        <v>109</v>
      </c>
      <c r="P20" s="6" t="s">
        <v>70</v>
      </c>
      <c r="Q20" s="8" t="s">
        <v>97</v>
      </c>
      <c r="R20" s="10" t="s">
        <v>147</v>
      </c>
      <c r="S20" s="11" t="s">
        <v>162</v>
      </c>
      <c r="T20" s="6"/>
      <c r="U20" s="28" t="str">
        <f>HYPERLINK("https://media.infra-m.ru/2125/2125642/cover/2125642.jpg", "Обложка")</f>
        <v>Обложка</v>
      </c>
      <c r="V20" s="28" t="str">
        <f>HYPERLINK("https://znanium.ru/catalog/product/2110027", "Ознакомиться")</f>
        <v>Ознакомиться</v>
      </c>
      <c r="W20" s="8" t="s">
        <v>148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1654.9</v>
      </c>
      <c r="D21" s="8" t="s">
        <v>165</v>
      </c>
      <c r="E21" s="8" t="s">
        <v>166</v>
      </c>
      <c r="F21" s="8" t="s">
        <v>145</v>
      </c>
      <c r="G21" s="6" t="s">
        <v>66</v>
      </c>
      <c r="H21" s="6" t="s">
        <v>67</v>
      </c>
      <c r="I21" s="8" t="s">
        <v>95</v>
      </c>
      <c r="J21" s="9">
        <v>1</v>
      </c>
      <c r="K21" s="9">
        <v>368</v>
      </c>
      <c r="L21" s="9">
        <v>2023</v>
      </c>
      <c r="M21" s="8" t="s">
        <v>167</v>
      </c>
      <c r="N21" s="8" t="s">
        <v>108</v>
      </c>
      <c r="O21" s="8" t="s">
        <v>109</v>
      </c>
      <c r="P21" s="6" t="s">
        <v>70</v>
      </c>
      <c r="Q21" s="8" t="s">
        <v>97</v>
      </c>
      <c r="R21" s="10" t="s">
        <v>147</v>
      </c>
      <c r="S21" s="11" t="s">
        <v>168</v>
      </c>
      <c r="T21" s="6"/>
      <c r="U21" s="28" t="str">
        <f>HYPERLINK("https://media.infra-m.ru/1911/1911808/cover/1911808.jpg", "Обложка")</f>
        <v>Обложка</v>
      </c>
      <c r="V21" s="28" t="str">
        <f>HYPERLINK("https://znanium.ru/catalog/product/2110027", "Ознакомиться")</f>
        <v>Ознакомиться</v>
      </c>
      <c r="W21" s="8" t="s">
        <v>148</v>
      </c>
      <c r="X21" s="6"/>
      <c r="Y21" s="6"/>
      <c r="Z21" s="6"/>
      <c r="AA21" s="6" t="s">
        <v>157</v>
      </c>
    </row>
    <row r="22" spans="1:27" s="4" customFormat="1" ht="42" customHeight="1">
      <c r="A22" s="5">
        <v>0</v>
      </c>
      <c r="B22" s="6" t="s">
        <v>169</v>
      </c>
      <c r="C22" s="7">
        <v>1077</v>
      </c>
      <c r="D22" s="8" t="s">
        <v>170</v>
      </c>
      <c r="E22" s="8" t="s">
        <v>171</v>
      </c>
      <c r="F22" s="8" t="s">
        <v>172</v>
      </c>
      <c r="G22" s="6" t="s">
        <v>53</v>
      </c>
      <c r="H22" s="6" t="s">
        <v>173</v>
      </c>
      <c r="I22" s="8" t="s">
        <v>39</v>
      </c>
      <c r="J22" s="9">
        <v>1</v>
      </c>
      <c r="K22" s="9">
        <v>176</v>
      </c>
      <c r="L22" s="9">
        <v>2024</v>
      </c>
      <c r="M22" s="8" t="s">
        <v>174</v>
      </c>
      <c r="N22" s="8" t="s">
        <v>108</v>
      </c>
      <c r="O22" s="8" t="s">
        <v>109</v>
      </c>
      <c r="P22" s="6" t="s">
        <v>43</v>
      </c>
      <c r="Q22" s="8" t="s">
        <v>44</v>
      </c>
      <c r="R22" s="10" t="s">
        <v>175</v>
      </c>
      <c r="S22" s="11"/>
      <c r="T22" s="6"/>
      <c r="U22" s="28" t="str">
        <f>HYPERLINK("https://media.infra-m.ru/2125/2125107/cover/2125107.jpg", "Обложка")</f>
        <v>Обложка</v>
      </c>
      <c r="V22" s="28" t="str">
        <f>HYPERLINK("https://znanium.ru/catalog/product/1818172", "Ознакомиться")</f>
        <v>Ознакомиться</v>
      </c>
      <c r="W22" s="8" t="s">
        <v>176</v>
      </c>
      <c r="X22" s="6"/>
      <c r="Y22" s="6"/>
      <c r="Z22" s="6"/>
      <c r="AA22" s="6" t="s">
        <v>177</v>
      </c>
    </row>
    <row r="23" spans="1:27" s="4" customFormat="1" ht="42" customHeight="1">
      <c r="A23" s="5">
        <v>0</v>
      </c>
      <c r="B23" s="6" t="s">
        <v>178</v>
      </c>
      <c r="C23" s="7">
        <v>1164</v>
      </c>
      <c r="D23" s="8" t="s">
        <v>179</v>
      </c>
      <c r="E23" s="8" t="s">
        <v>180</v>
      </c>
      <c r="F23" s="8" t="s">
        <v>181</v>
      </c>
      <c r="G23" s="6" t="s">
        <v>53</v>
      </c>
      <c r="H23" s="6" t="s">
        <v>67</v>
      </c>
      <c r="I23" s="8" t="s">
        <v>106</v>
      </c>
      <c r="J23" s="9">
        <v>1</v>
      </c>
      <c r="K23" s="9">
        <v>257</v>
      </c>
      <c r="L23" s="9">
        <v>2023</v>
      </c>
      <c r="M23" s="8" t="s">
        <v>182</v>
      </c>
      <c r="N23" s="8" t="s">
        <v>108</v>
      </c>
      <c r="O23" s="8" t="s">
        <v>109</v>
      </c>
      <c r="P23" s="6" t="s">
        <v>110</v>
      </c>
      <c r="Q23" s="8" t="s">
        <v>111</v>
      </c>
      <c r="R23" s="10" t="s">
        <v>183</v>
      </c>
      <c r="S23" s="11"/>
      <c r="T23" s="6"/>
      <c r="U23" s="28" t="str">
        <f>HYPERLINK("https://media.infra-m.ru/2006/2006065/cover/2006065.jpg", "Обложка")</f>
        <v>Обложка</v>
      </c>
      <c r="V23" s="28" t="str">
        <f>HYPERLINK("https://znanium.ru/catalog/product/1039637", "Ознакомиться")</f>
        <v>Ознакомиться</v>
      </c>
      <c r="W23" s="8" t="s">
        <v>184</v>
      </c>
      <c r="X23" s="6"/>
      <c r="Y23" s="6"/>
      <c r="Z23" s="6"/>
      <c r="AA23" s="6" t="s">
        <v>185</v>
      </c>
    </row>
    <row r="24" spans="1:27" s="4" customFormat="1" ht="42" customHeight="1">
      <c r="A24" s="5">
        <v>0</v>
      </c>
      <c r="B24" s="6" t="s">
        <v>186</v>
      </c>
      <c r="C24" s="13">
        <v>310</v>
      </c>
      <c r="D24" s="8" t="s">
        <v>187</v>
      </c>
      <c r="E24" s="8" t="s">
        <v>188</v>
      </c>
      <c r="F24" s="8" t="s">
        <v>181</v>
      </c>
      <c r="G24" s="6" t="s">
        <v>53</v>
      </c>
      <c r="H24" s="6" t="s">
        <v>67</v>
      </c>
      <c r="I24" s="8" t="s">
        <v>106</v>
      </c>
      <c r="J24" s="9">
        <v>1</v>
      </c>
      <c r="K24" s="9">
        <v>99</v>
      </c>
      <c r="L24" s="9">
        <v>2018</v>
      </c>
      <c r="M24" s="8" t="s">
        <v>189</v>
      </c>
      <c r="N24" s="8" t="s">
        <v>108</v>
      </c>
      <c r="O24" s="8" t="s">
        <v>109</v>
      </c>
      <c r="P24" s="6" t="s">
        <v>110</v>
      </c>
      <c r="Q24" s="8" t="s">
        <v>111</v>
      </c>
      <c r="R24" s="10" t="s">
        <v>183</v>
      </c>
      <c r="S24" s="11"/>
      <c r="T24" s="6"/>
      <c r="U24" s="28" t="str">
        <f>HYPERLINK("https://media.infra-m.ru/0962/0962580/cover/962580.jpg", "Обложка")</f>
        <v>Обложка</v>
      </c>
      <c r="V24" s="28" t="str">
        <f>HYPERLINK("https://znanium.ru/catalog/product/1039637", "Ознакомиться")</f>
        <v>Ознакомиться</v>
      </c>
      <c r="W24" s="8" t="s">
        <v>184</v>
      </c>
      <c r="X24" s="6"/>
      <c r="Y24" s="6"/>
      <c r="Z24" s="6"/>
      <c r="AA24" s="6" t="s">
        <v>190</v>
      </c>
    </row>
    <row r="25" spans="1:27" s="4" customFormat="1" ht="51.95" customHeight="1">
      <c r="A25" s="5">
        <v>0</v>
      </c>
      <c r="B25" s="6" t="s">
        <v>191</v>
      </c>
      <c r="C25" s="7">
        <v>1260</v>
      </c>
      <c r="D25" s="8" t="s">
        <v>192</v>
      </c>
      <c r="E25" s="8" t="s">
        <v>193</v>
      </c>
      <c r="F25" s="8" t="s">
        <v>194</v>
      </c>
      <c r="G25" s="6" t="s">
        <v>66</v>
      </c>
      <c r="H25" s="6" t="s">
        <v>67</v>
      </c>
      <c r="I25" s="8" t="s">
        <v>39</v>
      </c>
      <c r="J25" s="9">
        <v>1</v>
      </c>
      <c r="K25" s="9">
        <v>280</v>
      </c>
      <c r="L25" s="9">
        <v>2023</v>
      </c>
      <c r="M25" s="8" t="s">
        <v>195</v>
      </c>
      <c r="N25" s="8" t="s">
        <v>108</v>
      </c>
      <c r="O25" s="8" t="s">
        <v>109</v>
      </c>
      <c r="P25" s="6" t="s">
        <v>43</v>
      </c>
      <c r="Q25" s="8" t="s">
        <v>44</v>
      </c>
      <c r="R25" s="10" t="s">
        <v>196</v>
      </c>
      <c r="S25" s="11" t="s">
        <v>197</v>
      </c>
      <c r="T25" s="6"/>
      <c r="U25" s="28" t="str">
        <f>HYPERLINK("https://media.infra-m.ru/1894/1894763/cover/1894763.jpg", "Обложка")</f>
        <v>Обложка</v>
      </c>
      <c r="V25" s="28" t="str">
        <f>HYPERLINK("https://znanium.ru/catalog/product/1921385", "Ознакомиться")</f>
        <v>Ознакомиться</v>
      </c>
      <c r="W25" s="8" t="s">
        <v>74</v>
      </c>
      <c r="X25" s="6"/>
      <c r="Y25" s="6"/>
      <c r="Z25" s="6"/>
      <c r="AA25" s="6" t="s">
        <v>157</v>
      </c>
    </row>
    <row r="26" spans="1:27" s="4" customFormat="1" ht="51.95" customHeight="1">
      <c r="A26" s="5">
        <v>0</v>
      </c>
      <c r="B26" s="6" t="s">
        <v>198</v>
      </c>
      <c r="C26" s="7">
        <v>1260</v>
      </c>
      <c r="D26" s="8" t="s">
        <v>199</v>
      </c>
      <c r="E26" s="8" t="s">
        <v>200</v>
      </c>
      <c r="F26" s="8" t="s">
        <v>194</v>
      </c>
      <c r="G26" s="6" t="s">
        <v>66</v>
      </c>
      <c r="H26" s="6" t="s">
        <v>67</v>
      </c>
      <c r="I26" s="8" t="s">
        <v>68</v>
      </c>
      <c r="J26" s="9">
        <v>1</v>
      </c>
      <c r="K26" s="9">
        <v>280</v>
      </c>
      <c r="L26" s="9">
        <v>2023</v>
      </c>
      <c r="M26" s="8" t="s">
        <v>201</v>
      </c>
      <c r="N26" s="8" t="s">
        <v>108</v>
      </c>
      <c r="O26" s="8" t="s">
        <v>109</v>
      </c>
      <c r="P26" s="6" t="s">
        <v>43</v>
      </c>
      <c r="Q26" s="8" t="s">
        <v>71</v>
      </c>
      <c r="R26" s="10" t="s">
        <v>202</v>
      </c>
      <c r="S26" s="11" t="s">
        <v>203</v>
      </c>
      <c r="T26" s="6"/>
      <c r="U26" s="28" t="str">
        <f>HYPERLINK("https://media.infra-m.ru/2008/2008778/cover/2008778.jpg", "Обложка")</f>
        <v>Обложка</v>
      </c>
      <c r="V26" s="28" t="str">
        <f>HYPERLINK("https://znanium.ru/catalog/product/2008778", "Ознакомиться")</f>
        <v>Ознакомиться</v>
      </c>
      <c r="W26" s="8" t="s">
        <v>74</v>
      </c>
      <c r="X26" s="6"/>
      <c r="Y26" s="6"/>
      <c r="Z26" s="6" t="s">
        <v>132</v>
      </c>
      <c r="AA26" s="6" t="s">
        <v>126</v>
      </c>
    </row>
    <row r="27" spans="1:27" s="4" customFormat="1" ht="51.95" customHeight="1">
      <c r="A27" s="5">
        <v>0</v>
      </c>
      <c r="B27" s="6" t="s">
        <v>204</v>
      </c>
      <c r="C27" s="7">
        <v>1260</v>
      </c>
      <c r="D27" s="8" t="s">
        <v>205</v>
      </c>
      <c r="E27" s="8" t="s">
        <v>206</v>
      </c>
      <c r="F27" s="8" t="s">
        <v>194</v>
      </c>
      <c r="G27" s="6" t="s">
        <v>66</v>
      </c>
      <c r="H27" s="6" t="s">
        <v>67</v>
      </c>
      <c r="I27" s="8" t="s">
        <v>207</v>
      </c>
      <c r="J27" s="9">
        <v>1</v>
      </c>
      <c r="K27" s="9">
        <v>280</v>
      </c>
      <c r="L27" s="9">
        <v>2023</v>
      </c>
      <c r="M27" s="8" t="s">
        <v>208</v>
      </c>
      <c r="N27" s="8" t="s">
        <v>108</v>
      </c>
      <c r="O27" s="8" t="s">
        <v>109</v>
      </c>
      <c r="P27" s="6" t="s">
        <v>43</v>
      </c>
      <c r="Q27" s="8" t="s">
        <v>209</v>
      </c>
      <c r="R27" s="10" t="s">
        <v>210</v>
      </c>
      <c r="S27" s="11" t="s">
        <v>211</v>
      </c>
      <c r="T27" s="6"/>
      <c r="U27" s="28" t="str">
        <f>HYPERLINK("https://media.infra-m.ru/1893/1893817/cover/1893817.jpg", "Обложка")</f>
        <v>Обложка</v>
      </c>
      <c r="V27" s="28" t="str">
        <f>HYPERLINK("https://znanium.ru/catalog/product/1893817", "Ознакомиться")</f>
        <v>Ознакомиться</v>
      </c>
      <c r="W27" s="8" t="s">
        <v>74</v>
      </c>
      <c r="X27" s="6"/>
      <c r="Y27" s="6"/>
      <c r="Z27" s="6" t="s">
        <v>212</v>
      </c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7">
        <v>1260</v>
      </c>
      <c r="D28" s="8" t="s">
        <v>215</v>
      </c>
      <c r="E28" s="8" t="s">
        <v>216</v>
      </c>
      <c r="F28" s="8" t="s">
        <v>217</v>
      </c>
      <c r="G28" s="6" t="s">
        <v>37</v>
      </c>
      <c r="H28" s="6" t="s">
        <v>67</v>
      </c>
      <c r="I28" s="8" t="s">
        <v>54</v>
      </c>
      <c r="J28" s="9">
        <v>1</v>
      </c>
      <c r="K28" s="9">
        <v>258</v>
      </c>
      <c r="L28" s="9">
        <v>2023</v>
      </c>
      <c r="M28" s="8" t="s">
        <v>218</v>
      </c>
      <c r="N28" s="8" t="s">
        <v>108</v>
      </c>
      <c r="O28" s="8" t="s">
        <v>109</v>
      </c>
      <c r="P28" s="6" t="s">
        <v>43</v>
      </c>
      <c r="Q28" s="8" t="s">
        <v>44</v>
      </c>
      <c r="R28" s="10" t="s">
        <v>196</v>
      </c>
      <c r="S28" s="11" t="s">
        <v>197</v>
      </c>
      <c r="T28" s="6"/>
      <c r="U28" s="28" t="str">
        <f>HYPERLINK("https://media.infra-m.ru/1921/1921385/cover/1921385.jpg", "Обложка")</f>
        <v>Обложка</v>
      </c>
      <c r="V28" s="28" t="str">
        <f>HYPERLINK("https://znanium.ru/catalog/product/1921385", "Ознакомиться")</f>
        <v>Ознакомиться</v>
      </c>
      <c r="W28" s="8" t="s">
        <v>74</v>
      </c>
      <c r="X28" s="6"/>
      <c r="Y28" s="6"/>
      <c r="Z28" s="6"/>
      <c r="AA28" s="6" t="s">
        <v>213</v>
      </c>
    </row>
    <row r="29" spans="1:27" s="4" customFormat="1" ht="51.95" customHeight="1">
      <c r="A29" s="5">
        <v>0</v>
      </c>
      <c r="B29" s="6" t="s">
        <v>219</v>
      </c>
      <c r="C29" s="13">
        <v>594.9</v>
      </c>
      <c r="D29" s="8" t="s">
        <v>220</v>
      </c>
      <c r="E29" s="8" t="s">
        <v>221</v>
      </c>
      <c r="F29" s="8" t="s">
        <v>222</v>
      </c>
      <c r="G29" s="6" t="s">
        <v>37</v>
      </c>
      <c r="H29" s="6" t="s">
        <v>38</v>
      </c>
      <c r="I29" s="8" t="s">
        <v>39</v>
      </c>
      <c r="J29" s="9">
        <v>1</v>
      </c>
      <c r="K29" s="9">
        <v>154</v>
      </c>
      <c r="L29" s="9">
        <v>2022</v>
      </c>
      <c r="M29" s="8" t="s">
        <v>223</v>
      </c>
      <c r="N29" s="8" t="s">
        <v>41</v>
      </c>
      <c r="O29" s="8" t="s">
        <v>42</v>
      </c>
      <c r="P29" s="6" t="s">
        <v>43</v>
      </c>
      <c r="Q29" s="8" t="s">
        <v>44</v>
      </c>
      <c r="R29" s="10" t="s">
        <v>224</v>
      </c>
      <c r="S29" s="11" t="s">
        <v>225</v>
      </c>
      <c r="T29" s="6"/>
      <c r="U29" s="28" t="str">
        <f>HYPERLINK("https://media.infra-m.ru/1850/1850671/cover/1850671.jpg", "Обложка")</f>
        <v>Обложка</v>
      </c>
      <c r="V29" s="28" t="str">
        <f>HYPERLINK("https://znanium.ru/catalog/product/1069164", "Ознакомиться")</f>
        <v>Ознакомиться</v>
      </c>
      <c r="W29" s="8" t="s">
        <v>226</v>
      </c>
      <c r="X29" s="6"/>
      <c r="Y29" s="6"/>
      <c r="Z29" s="6"/>
      <c r="AA29" s="6" t="s">
        <v>227</v>
      </c>
    </row>
    <row r="30" spans="1:27" s="4" customFormat="1" ht="51.95" customHeight="1">
      <c r="A30" s="5">
        <v>0</v>
      </c>
      <c r="B30" s="6" t="s">
        <v>228</v>
      </c>
      <c r="C30" s="7">
        <v>1220</v>
      </c>
      <c r="D30" s="8" t="s">
        <v>229</v>
      </c>
      <c r="E30" s="8" t="s">
        <v>230</v>
      </c>
      <c r="F30" s="8" t="s">
        <v>231</v>
      </c>
      <c r="G30" s="6" t="s">
        <v>66</v>
      </c>
      <c r="H30" s="6" t="s">
        <v>67</v>
      </c>
      <c r="I30" s="8" t="s">
        <v>54</v>
      </c>
      <c r="J30" s="9">
        <v>1</v>
      </c>
      <c r="K30" s="9">
        <v>255</v>
      </c>
      <c r="L30" s="9">
        <v>2024</v>
      </c>
      <c r="M30" s="8" t="s">
        <v>232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233</v>
      </c>
      <c r="S30" s="11" t="s">
        <v>234</v>
      </c>
      <c r="T30" s="6" t="s">
        <v>59</v>
      </c>
      <c r="U30" s="28" t="str">
        <f>HYPERLINK("https://media.infra-m.ru/2082/2082726/cover/2082726.jpg", "Обложка")</f>
        <v>Обложка</v>
      </c>
      <c r="V30" s="28" t="str">
        <f>HYPERLINK("https://znanium.ru/catalog/product/2082726", "Ознакомиться")</f>
        <v>Ознакомиться</v>
      </c>
      <c r="W30" s="8" t="s">
        <v>235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7">
        <v>1060</v>
      </c>
      <c r="D31" s="8" t="s">
        <v>238</v>
      </c>
      <c r="E31" s="8" t="s">
        <v>239</v>
      </c>
      <c r="F31" s="8" t="s">
        <v>240</v>
      </c>
      <c r="G31" s="6" t="s">
        <v>66</v>
      </c>
      <c r="H31" s="6" t="s">
        <v>67</v>
      </c>
      <c r="I31" s="8" t="s">
        <v>54</v>
      </c>
      <c r="J31" s="9">
        <v>1</v>
      </c>
      <c r="K31" s="9">
        <v>229</v>
      </c>
      <c r="L31" s="9">
        <v>2024</v>
      </c>
      <c r="M31" s="8" t="s">
        <v>241</v>
      </c>
      <c r="N31" s="8" t="s">
        <v>108</v>
      </c>
      <c r="O31" s="8" t="s">
        <v>109</v>
      </c>
      <c r="P31" s="6" t="s">
        <v>70</v>
      </c>
      <c r="Q31" s="8" t="s">
        <v>44</v>
      </c>
      <c r="R31" s="10" t="s">
        <v>242</v>
      </c>
      <c r="S31" s="11" t="s">
        <v>243</v>
      </c>
      <c r="T31" s="6"/>
      <c r="U31" s="28" t="str">
        <f>HYPERLINK("https://media.infra-m.ru/2084/2084161/cover/2084161.jpg", "Обложка")</f>
        <v>Обложка</v>
      </c>
      <c r="V31" s="28" t="str">
        <f>HYPERLINK("https://znanium.ru/catalog/product/2084161", "Ознакомиться")</f>
        <v>Ознакомиться</v>
      </c>
      <c r="W31" s="8" t="s">
        <v>184</v>
      </c>
      <c r="X31" s="6"/>
      <c r="Y31" s="6"/>
      <c r="Z31" s="6"/>
      <c r="AA31" s="6" t="s">
        <v>244</v>
      </c>
    </row>
    <row r="32" spans="1:27" s="4" customFormat="1" ht="51.95" customHeight="1">
      <c r="A32" s="5">
        <v>0</v>
      </c>
      <c r="B32" s="6" t="s">
        <v>245</v>
      </c>
      <c r="C32" s="7">
        <v>1870</v>
      </c>
      <c r="D32" s="8" t="s">
        <v>246</v>
      </c>
      <c r="E32" s="8" t="s">
        <v>247</v>
      </c>
      <c r="F32" s="8" t="s">
        <v>248</v>
      </c>
      <c r="G32" s="6" t="s">
        <v>66</v>
      </c>
      <c r="H32" s="6" t="s">
        <v>67</v>
      </c>
      <c r="I32" s="8" t="s">
        <v>68</v>
      </c>
      <c r="J32" s="9">
        <v>1</v>
      </c>
      <c r="K32" s="9">
        <v>415</v>
      </c>
      <c r="L32" s="9">
        <v>2023</v>
      </c>
      <c r="M32" s="8" t="s">
        <v>249</v>
      </c>
      <c r="N32" s="8" t="s">
        <v>41</v>
      </c>
      <c r="O32" s="8" t="s">
        <v>42</v>
      </c>
      <c r="P32" s="6" t="s">
        <v>70</v>
      </c>
      <c r="Q32" s="8" t="s">
        <v>71</v>
      </c>
      <c r="R32" s="10" t="s">
        <v>250</v>
      </c>
      <c r="S32" s="11" t="s">
        <v>251</v>
      </c>
      <c r="T32" s="6"/>
      <c r="U32" s="28" t="str">
        <f>HYPERLINK("https://media.infra-m.ru/1971/1971826/cover/1971826.jpg", "Обложка")</f>
        <v>Обложка</v>
      </c>
      <c r="V32" s="28" t="str">
        <f>HYPERLINK("https://znanium.ru/catalog/product/1971826", "Ознакомиться")</f>
        <v>Ознакомиться</v>
      </c>
      <c r="W32" s="8" t="s">
        <v>74</v>
      </c>
      <c r="X32" s="6"/>
      <c r="Y32" s="6"/>
      <c r="Z32" s="6"/>
      <c r="AA32" s="6" t="s">
        <v>252</v>
      </c>
    </row>
    <row r="33" spans="1:27" s="4" customFormat="1" ht="51.95" customHeight="1">
      <c r="A33" s="5">
        <v>0</v>
      </c>
      <c r="B33" s="6" t="s">
        <v>253</v>
      </c>
      <c r="C33" s="7">
        <v>2000</v>
      </c>
      <c r="D33" s="8" t="s">
        <v>254</v>
      </c>
      <c r="E33" s="8" t="s">
        <v>255</v>
      </c>
      <c r="F33" s="8" t="s">
        <v>256</v>
      </c>
      <c r="G33" s="6" t="s">
        <v>37</v>
      </c>
      <c r="H33" s="6" t="s">
        <v>67</v>
      </c>
      <c r="I33" s="8" t="s">
        <v>39</v>
      </c>
      <c r="J33" s="9">
        <v>1</v>
      </c>
      <c r="K33" s="9">
        <v>443</v>
      </c>
      <c r="L33" s="9">
        <v>2023</v>
      </c>
      <c r="M33" s="8" t="s">
        <v>257</v>
      </c>
      <c r="N33" s="8" t="s">
        <v>41</v>
      </c>
      <c r="O33" s="8" t="s">
        <v>42</v>
      </c>
      <c r="P33" s="6" t="s">
        <v>70</v>
      </c>
      <c r="Q33" s="8" t="s">
        <v>44</v>
      </c>
      <c r="R33" s="10" t="s">
        <v>258</v>
      </c>
      <c r="S33" s="11" t="s">
        <v>259</v>
      </c>
      <c r="T33" s="6"/>
      <c r="U33" s="28" t="str">
        <f>HYPERLINK("https://media.infra-m.ru/1900/1900420/cover/1900420.jpg", "Обложка")</f>
        <v>Обложка</v>
      </c>
      <c r="V33" s="28" t="str">
        <f>HYPERLINK("https://znanium.ru/catalog/product/1900420", "Ознакомиться")</f>
        <v>Ознакомиться</v>
      </c>
      <c r="W33" s="8" t="s">
        <v>74</v>
      </c>
      <c r="X33" s="6"/>
      <c r="Y33" s="6"/>
      <c r="Z33" s="6"/>
      <c r="AA33" s="6" t="s">
        <v>177</v>
      </c>
    </row>
    <row r="34" spans="1:27" s="4" customFormat="1" ht="51.95" customHeight="1">
      <c r="A34" s="5">
        <v>0</v>
      </c>
      <c r="B34" s="6" t="s">
        <v>260</v>
      </c>
      <c r="C34" s="7">
        <v>1990</v>
      </c>
      <c r="D34" s="8" t="s">
        <v>261</v>
      </c>
      <c r="E34" s="8" t="s">
        <v>255</v>
      </c>
      <c r="F34" s="8" t="s">
        <v>256</v>
      </c>
      <c r="G34" s="6" t="s">
        <v>66</v>
      </c>
      <c r="H34" s="6" t="s">
        <v>67</v>
      </c>
      <c r="I34" s="8" t="s">
        <v>68</v>
      </c>
      <c r="J34" s="9">
        <v>1</v>
      </c>
      <c r="K34" s="9">
        <v>443</v>
      </c>
      <c r="L34" s="9">
        <v>2023</v>
      </c>
      <c r="M34" s="8" t="s">
        <v>262</v>
      </c>
      <c r="N34" s="8" t="s">
        <v>41</v>
      </c>
      <c r="O34" s="8" t="s">
        <v>42</v>
      </c>
      <c r="P34" s="6" t="s">
        <v>70</v>
      </c>
      <c r="Q34" s="8" t="s">
        <v>71</v>
      </c>
      <c r="R34" s="10" t="s">
        <v>263</v>
      </c>
      <c r="S34" s="11" t="s">
        <v>264</v>
      </c>
      <c r="T34" s="6"/>
      <c r="U34" s="28" t="str">
        <f>HYPERLINK("https://media.infra-m.ru/2011/2011480/cover/2011480.jpg", "Обложка")</f>
        <v>Обложка</v>
      </c>
      <c r="V34" s="28" t="str">
        <f>HYPERLINK("https://znanium.ru/catalog/product/2011480", "Ознакомиться")</f>
        <v>Ознакомиться</v>
      </c>
      <c r="W34" s="8" t="s">
        <v>74</v>
      </c>
      <c r="X34" s="6"/>
      <c r="Y34" s="6"/>
      <c r="Z34" s="6" t="s">
        <v>132</v>
      </c>
      <c r="AA34" s="6" t="s">
        <v>126</v>
      </c>
    </row>
    <row r="35" spans="1:27" s="4" customFormat="1" ht="51.95" customHeight="1">
      <c r="A35" s="5">
        <v>0</v>
      </c>
      <c r="B35" s="6" t="s">
        <v>265</v>
      </c>
      <c r="C35" s="7">
        <v>1294.9000000000001</v>
      </c>
      <c r="D35" s="8" t="s">
        <v>266</v>
      </c>
      <c r="E35" s="8" t="s">
        <v>255</v>
      </c>
      <c r="F35" s="8" t="s">
        <v>267</v>
      </c>
      <c r="G35" s="6" t="s">
        <v>66</v>
      </c>
      <c r="H35" s="6" t="s">
        <v>67</v>
      </c>
      <c r="I35" s="8" t="s">
        <v>68</v>
      </c>
      <c r="J35" s="9">
        <v>1</v>
      </c>
      <c r="K35" s="9">
        <v>287</v>
      </c>
      <c r="L35" s="9">
        <v>2023</v>
      </c>
      <c r="M35" s="8" t="s">
        <v>268</v>
      </c>
      <c r="N35" s="8" t="s">
        <v>41</v>
      </c>
      <c r="O35" s="8" t="s">
        <v>42</v>
      </c>
      <c r="P35" s="6" t="s">
        <v>70</v>
      </c>
      <c r="Q35" s="8" t="s">
        <v>71</v>
      </c>
      <c r="R35" s="10" t="s">
        <v>269</v>
      </c>
      <c r="S35" s="11" t="s">
        <v>270</v>
      </c>
      <c r="T35" s="6"/>
      <c r="U35" s="28" t="str">
        <f>HYPERLINK("https://media.infra-m.ru/1928/1928377/cover/1928377.jpg", "Обложка")</f>
        <v>Обложка</v>
      </c>
      <c r="V35" s="28" t="str">
        <f>HYPERLINK("https://znanium.ru/catalog/product/1248683", "Ознакомиться")</f>
        <v>Ознакомиться</v>
      </c>
      <c r="W35" s="8" t="s">
        <v>271</v>
      </c>
      <c r="X35" s="6"/>
      <c r="Y35" s="6"/>
      <c r="Z35" s="6"/>
      <c r="AA35" s="6" t="s">
        <v>83</v>
      </c>
    </row>
    <row r="36" spans="1:27" s="4" customFormat="1" ht="51.95" customHeight="1">
      <c r="A36" s="5">
        <v>0</v>
      </c>
      <c r="B36" s="6" t="s">
        <v>272</v>
      </c>
      <c r="C36" s="7">
        <v>1670</v>
      </c>
      <c r="D36" s="8" t="s">
        <v>273</v>
      </c>
      <c r="E36" s="8" t="s">
        <v>274</v>
      </c>
      <c r="F36" s="8" t="s">
        <v>275</v>
      </c>
      <c r="G36" s="6" t="s">
        <v>66</v>
      </c>
      <c r="H36" s="6" t="s">
        <v>67</v>
      </c>
      <c r="I36" s="8" t="s">
        <v>39</v>
      </c>
      <c r="J36" s="9">
        <v>1</v>
      </c>
      <c r="K36" s="9">
        <v>452</v>
      </c>
      <c r="L36" s="9">
        <v>2022</v>
      </c>
      <c r="M36" s="8" t="s">
        <v>276</v>
      </c>
      <c r="N36" s="8" t="s">
        <v>41</v>
      </c>
      <c r="O36" s="8" t="s">
        <v>42</v>
      </c>
      <c r="P36" s="6" t="s">
        <v>70</v>
      </c>
      <c r="Q36" s="8" t="s">
        <v>44</v>
      </c>
      <c r="R36" s="10" t="s">
        <v>277</v>
      </c>
      <c r="S36" s="11" t="s">
        <v>278</v>
      </c>
      <c r="T36" s="6" t="s">
        <v>59</v>
      </c>
      <c r="U36" s="28" t="str">
        <f>HYPERLINK("https://media.infra-m.ru/1789/1789096/cover/1789096.jpg", "Обложка")</f>
        <v>Обложка</v>
      </c>
      <c r="V36" s="28" t="str">
        <f>HYPERLINK("https://znanium.ru/catalog/product/1789096", "Ознакомиться")</f>
        <v>Ознакомиться</v>
      </c>
      <c r="W36" s="8" t="s">
        <v>271</v>
      </c>
      <c r="X36" s="6"/>
      <c r="Y36" s="6"/>
      <c r="Z36" s="6"/>
      <c r="AA36" s="6" t="s">
        <v>126</v>
      </c>
    </row>
    <row r="37" spans="1:27" s="4" customFormat="1" ht="51.95" customHeight="1">
      <c r="A37" s="5">
        <v>0</v>
      </c>
      <c r="B37" s="6" t="s">
        <v>279</v>
      </c>
      <c r="C37" s="13">
        <v>772</v>
      </c>
      <c r="D37" s="8" t="s">
        <v>280</v>
      </c>
      <c r="E37" s="8" t="s">
        <v>281</v>
      </c>
      <c r="F37" s="8" t="s">
        <v>282</v>
      </c>
      <c r="G37" s="6" t="s">
        <v>53</v>
      </c>
      <c r="H37" s="6" t="s">
        <v>283</v>
      </c>
      <c r="I37" s="8" t="s">
        <v>284</v>
      </c>
      <c r="J37" s="9">
        <v>1</v>
      </c>
      <c r="K37" s="9">
        <v>128</v>
      </c>
      <c r="L37" s="9">
        <v>2023</v>
      </c>
      <c r="M37" s="8" t="s">
        <v>285</v>
      </c>
      <c r="N37" s="8" t="s">
        <v>41</v>
      </c>
      <c r="O37" s="8" t="s">
        <v>42</v>
      </c>
      <c r="P37" s="6" t="s">
        <v>43</v>
      </c>
      <c r="Q37" s="8" t="s">
        <v>44</v>
      </c>
      <c r="R37" s="10" t="s">
        <v>286</v>
      </c>
      <c r="S37" s="11" t="s">
        <v>287</v>
      </c>
      <c r="T37" s="6"/>
      <c r="U37" s="28" t="str">
        <f>HYPERLINK("https://media.infra-m.ru/1911/1911535/cover/1911535.jpg", "Обложка")</f>
        <v>Обложка</v>
      </c>
      <c r="V37" s="28" t="str">
        <f>HYPERLINK("https://znanium.ru/catalog/product/1911535", "Ознакомиться")</f>
        <v>Ознакомиться</v>
      </c>
      <c r="W37" s="8" t="s">
        <v>288</v>
      </c>
      <c r="X37" s="6"/>
      <c r="Y37" s="6"/>
      <c r="Z37" s="6"/>
      <c r="AA37" s="6" t="s">
        <v>289</v>
      </c>
    </row>
    <row r="38" spans="1:27" s="4" customFormat="1" ht="51.95" customHeight="1">
      <c r="A38" s="5">
        <v>0</v>
      </c>
      <c r="B38" s="6" t="s">
        <v>290</v>
      </c>
      <c r="C38" s="13">
        <v>930</v>
      </c>
      <c r="D38" s="8" t="s">
        <v>291</v>
      </c>
      <c r="E38" s="8" t="s">
        <v>292</v>
      </c>
      <c r="F38" s="8" t="s">
        <v>293</v>
      </c>
      <c r="G38" s="6" t="s">
        <v>66</v>
      </c>
      <c r="H38" s="6" t="s">
        <v>173</v>
      </c>
      <c r="I38" s="8" t="s">
        <v>54</v>
      </c>
      <c r="J38" s="9">
        <v>1</v>
      </c>
      <c r="K38" s="9">
        <v>191</v>
      </c>
      <c r="L38" s="9">
        <v>2024</v>
      </c>
      <c r="M38" s="8" t="s">
        <v>294</v>
      </c>
      <c r="N38" s="8" t="s">
        <v>41</v>
      </c>
      <c r="O38" s="8" t="s">
        <v>42</v>
      </c>
      <c r="P38" s="6" t="s">
        <v>295</v>
      </c>
      <c r="Q38" s="8" t="s">
        <v>44</v>
      </c>
      <c r="R38" s="10" t="s">
        <v>296</v>
      </c>
      <c r="S38" s="11" t="s">
        <v>297</v>
      </c>
      <c r="T38" s="6"/>
      <c r="U38" s="28" t="str">
        <f>HYPERLINK("https://media.infra-m.ru/2084/2084164/cover/2084164.jpg", "Обложка")</f>
        <v>Обложка</v>
      </c>
      <c r="V38" s="28" t="str">
        <f>HYPERLINK("https://znanium.ru/catalog/product/2084164", "Ознакомиться")</f>
        <v>Ознакомиться</v>
      </c>
      <c r="W38" s="8" t="s">
        <v>176</v>
      </c>
      <c r="X38" s="6"/>
      <c r="Y38" s="6"/>
      <c r="Z38" s="6"/>
      <c r="AA38" s="6" t="s">
        <v>177</v>
      </c>
    </row>
    <row r="39" spans="1:27" s="4" customFormat="1" ht="51.95" customHeight="1">
      <c r="A39" s="5">
        <v>0</v>
      </c>
      <c r="B39" s="6" t="s">
        <v>298</v>
      </c>
      <c r="C39" s="7">
        <v>1410</v>
      </c>
      <c r="D39" s="8" t="s">
        <v>299</v>
      </c>
      <c r="E39" s="8" t="s">
        <v>300</v>
      </c>
      <c r="F39" s="8" t="s">
        <v>301</v>
      </c>
      <c r="G39" s="6" t="s">
        <v>66</v>
      </c>
      <c r="H39" s="6" t="s">
        <v>67</v>
      </c>
      <c r="I39" s="8" t="s">
        <v>68</v>
      </c>
      <c r="J39" s="9">
        <v>1</v>
      </c>
      <c r="K39" s="9">
        <v>392</v>
      </c>
      <c r="L39" s="9">
        <v>2021</v>
      </c>
      <c r="M39" s="8" t="s">
        <v>302</v>
      </c>
      <c r="N39" s="8" t="s">
        <v>41</v>
      </c>
      <c r="O39" s="8" t="s">
        <v>42</v>
      </c>
      <c r="P39" s="6" t="s">
        <v>70</v>
      </c>
      <c r="Q39" s="8" t="s">
        <v>71</v>
      </c>
      <c r="R39" s="10" t="s">
        <v>303</v>
      </c>
      <c r="S39" s="11" t="s">
        <v>304</v>
      </c>
      <c r="T39" s="6"/>
      <c r="U39" s="28" t="str">
        <f>HYPERLINK("https://media.infra-m.ru/1232/1232422/cover/1232422.jpg", "Обложка")</f>
        <v>Обложка</v>
      </c>
      <c r="V39" s="28" t="str">
        <f>HYPERLINK("https://znanium.ru/catalog/product/2144741", "Ознакомиться")</f>
        <v>Ознакомиться</v>
      </c>
      <c r="W39" s="8" t="s">
        <v>74</v>
      </c>
      <c r="X39" s="6"/>
      <c r="Y39" s="6"/>
      <c r="Z39" s="6"/>
      <c r="AA39" s="6" t="s">
        <v>305</v>
      </c>
    </row>
    <row r="40" spans="1:27" s="4" customFormat="1" ht="51.95" customHeight="1">
      <c r="A40" s="5">
        <v>0</v>
      </c>
      <c r="B40" s="6" t="s">
        <v>306</v>
      </c>
      <c r="C40" s="7">
        <v>1840</v>
      </c>
      <c r="D40" s="8" t="s">
        <v>307</v>
      </c>
      <c r="E40" s="8" t="s">
        <v>308</v>
      </c>
      <c r="F40" s="8" t="s">
        <v>309</v>
      </c>
      <c r="G40" s="6" t="s">
        <v>66</v>
      </c>
      <c r="H40" s="6" t="s">
        <v>67</v>
      </c>
      <c r="I40" s="8" t="s">
        <v>68</v>
      </c>
      <c r="J40" s="9">
        <v>1</v>
      </c>
      <c r="K40" s="9">
        <v>392</v>
      </c>
      <c r="L40" s="9">
        <v>2024</v>
      </c>
      <c r="M40" s="8" t="s">
        <v>310</v>
      </c>
      <c r="N40" s="8" t="s">
        <v>41</v>
      </c>
      <c r="O40" s="8" t="s">
        <v>42</v>
      </c>
      <c r="P40" s="6" t="s">
        <v>70</v>
      </c>
      <c r="Q40" s="8" t="s">
        <v>71</v>
      </c>
      <c r="R40" s="10" t="s">
        <v>303</v>
      </c>
      <c r="S40" s="11" t="s">
        <v>311</v>
      </c>
      <c r="T40" s="6"/>
      <c r="U40" s="28" t="str">
        <f>HYPERLINK("https://media.infra-m.ru/2144/2144741/cover/2144741.jpg", "Обложка")</f>
        <v>Обложка</v>
      </c>
      <c r="V40" s="28" t="str">
        <f>HYPERLINK("https://znanium.ru/catalog/product/2144741", "Ознакомиться")</f>
        <v>Ознакомиться</v>
      </c>
      <c r="W40" s="8" t="s">
        <v>74</v>
      </c>
      <c r="X40" s="6"/>
      <c r="Y40" s="6"/>
      <c r="Z40" s="6"/>
      <c r="AA40" s="6" t="s">
        <v>213</v>
      </c>
    </row>
    <row r="41" spans="1:27" s="4" customFormat="1" ht="51.95" customHeight="1">
      <c r="A41" s="5">
        <v>0</v>
      </c>
      <c r="B41" s="6" t="s">
        <v>312</v>
      </c>
      <c r="C41" s="7">
        <v>1310</v>
      </c>
      <c r="D41" s="8" t="s">
        <v>313</v>
      </c>
      <c r="E41" s="8" t="s">
        <v>314</v>
      </c>
      <c r="F41" s="8" t="s">
        <v>315</v>
      </c>
      <c r="G41" s="6" t="s">
        <v>66</v>
      </c>
      <c r="H41" s="6" t="s">
        <v>67</v>
      </c>
      <c r="I41" s="8" t="s">
        <v>39</v>
      </c>
      <c r="J41" s="9">
        <v>1</v>
      </c>
      <c r="K41" s="9">
        <v>344</v>
      </c>
      <c r="L41" s="9">
        <v>2022</v>
      </c>
      <c r="M41" s="8" t="s">
        <v>316</v>
      </c>
      <c r="N41" s="8" t="s">
        <v>41</v>
      </c>
      <c r="O41" s="8" t="s">
        <v>42</v>
      </c>
      <c r="P41" s="6" t="s">
        <v>70</v>
      </c>
      <c r="Q41" s="8" t="s">
        <v>44</v>
      </c>
      <c r="R41" s="10" t="s">
        <v>317</v>
      </c>
      <c r="S41" s="11" t="s">
        <v>318</v>
      </c>
      <c r="T41" s="6"/>
      <c r="U41" s="28" t="str">
        <f>HYPERLINK("https://media.infra-m.ru/1862/1862649/cover/1862649.jpg", "Обложка")</f>
        <v>Обложка</v>
      </c>
      <c r="V41" s="28" t="str">
        <f>HYPERLINK("https://znanium.ru/catalog/product/1862649", "Ознакомиться")</f>
        <v>Ознакомиться</v>
      </c>
      <c r="W41" s="8" t="s">
        <v>319</v>
      </c>
      <c r="X41" s="6"/>
      <c r="Y41" s="6"/>
      <c r="Z41" s="6"/>
      <c r="AA41" s="6" t="s">
        <v>61</v>
      </c>
    </row>
    <row r="42" spans="1:27" s="4" customFormat="1" ht="51.95" customHeight="1">
      <c r="A42" s="5">
        <v>0</v>
      </c>
      <c r="B42" s="6" t="s">
        <v>320</v>
      </c>
      <c r="C42" s="7">
        <v>1624</v>
      </c>
      <c r="D42" s="8" t="s">
        <v>321</v>
      </c>
      <c r="E42" s="8" t="s">
        <v>314</v>
      </c>
      <c r="F42" s="8" t="s">
        <v>315</v>
      </c>
      <c r="G42" s="6" t="s">
        <v>66</v>
      </c>
      <c r="H42" s="6" t="s">
        <v>67</v>
      </c>
      <c r="I42" s="8" t="s">
        <v>68</v>
      </c>
      <c r="J42" s="9">
        <v>1</v>
      </c>
      <c r="K42" s="9">
        <v>344</v>
      </c>
      <c r="L42" s="9">
        <v>2024</v>
      </c>
      <c r="M42" s="8" t="s">
        <v>322</v>
      </c>
      <c r="N42" s="8" t="s">
        <v>41</v>
      </c>
      <c r="O42" s="8" t="s">
        <v>42</v>
      </c>
      <c r="P42" s="6" t="s">
        <v>70</v>
      </c>
      <c r="Q42" s="8" t="s">
        <v>71</v>
      </c>
      <c r="R42" s="10" t="s">
        <v>323</v>
      </c>
      <c r="S42" s="11" t="s">
        <v>324</v>
      </c>
      <c r="T42" s="6"/>
      <c r="U42" s="28" t="str">
        <f>HYPERLINK("https://media.infra-m.ru/2143/2143634/cover/2143634.jpg", "Обложка")</f>
        <v>Обложка</v>
      </c>
      <c r="V42" s="28" t="str">
        <f>HYPERLINK("https://znanium.ru/catalog/product/2119557", "Ознакомиться")</f>
        <v>Ознакомиться</v>
      </c>
      <c r="W42" s="8" t="s">
        <v>319</v>
      </c>
      <c r="X42" s="6"/>
      <c r="Y42" s="6"/>
      <c r="Z42" s="6" t="s">
        <v>132</v>
      </c>
      <c r="AA42" s="6" t="s">
        <v>190</v>
      </c>
    </row>
    <row r="43" spans="1:27" s="4" customFormat="1" ht="51.95" customHeight="1">
      <c r="A43" s="5">
        <v>0</v>
      </c>
      <c r="B43" s="6" t="s">
        <v>325</v>
      </c>
      <c r="C43" s="7">
        <v>2650</v>
      </c>
      <c r="D43" s="8" t="s">
        <v>326</v>
      </c>
      <c r="E43" s="8" t="s">
        <v>327</v>
      </c>
      <c r="F43" s="8" t="s">
        <v>328</v>
      </c>
      <c r="G43" s="6" t="s">
        <v>37</v>
      </c>
      <c r="H43" s="6" t="s">
        <v>67</v>
      </c>
      <c r="I43" s="8" t="s">
        <v>54</v>
      </c>
      <c r="J43" s="9">
        <v>1</v>
      </c>
      <c r="K43" s="9">
        <v>668</v>
      </c>
      <c r="L43" s="9">
        <v>2024</v>
      </c>
      <c r="M43" s="8" t="s">
        <v>329</v>
      </c>
      <c r="N43" s="8" t="s">
        <v>41</v>
      </c>
      <c r="O43" s="8" t="s">
        <v>42</v>
      </c>
      <c r="P43" s="6" t="s">
        <v>43</v>
      </c>
      <c r="Q43" s="8" t="s">
        <v>56</v>
      </c>
      <c r="R43" s="10" t="s">
        <v>330</v>
      </c>
      <c r="S43" s="11" t="s">
        <v>331</v>
      </c>
      <c r="T43" s="6"/>
      <c r="U43" s="28" t="str">
        <f>HYPERLINK("https://media.infra-m.ru/2141/2141025/cover/2141025.jpg", "Обложка")</f>
        <v>Обложка</v>
      </c>
      <c r="V43" s="28" t="str">
        <f>HYPERLINK("https://znanium.ru/catalog/product/2141025", "Ознакомиться")</f>
        <v>Ознакомиться</v>
      </c>
      <c r="W43" s="8" t="s">
        <v>332</v>
      </c>
      <c r="X43" s="6"/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333</v>
      </c>
      <c r="C44" s="7">
        <v>1640</v>
      </c>
      <c r="D44" s="8" t="s">
        <v>334</v>
      </c>
      <c r="E44" s="8" t="s">
        <v>335</v>
      </c>
      <c r="F44" s="8" t="s">
        <v>336</v>
      </c>
      <c r="G44" s="6" t="s">
        <v>66</v>
      </c>
      <c r="H44" s="6" t="s">
        <v>67</v>
      </c>
      <c r="I44" s="8" t="s">
        <v>68</v>
      </c>
      <c r="J44" s="9">
        <v>1</v>
      </c>
      <c r="K44" s="9">
        <v>432</v>
      </c>
      <c r="L44" s="9">
        <v>2022</v>
      </c>
      <c r="M44" s="8" t="s">
        <v>337</v>
      </c>
      <c r="N44" s="8" t="s">
        <v>41</v>
      </c>
      <c r="O44" s="8" t="s">
        <v>42</v>
      </c>
      <c r="P44" s="6" t="s">
        <v>70</v>
      </c>
      <c r="Q44" s="8" t="s">
        <v>71</v>
      </c>
      <c r="R44" s="10" t="s">
        <v>338</v>
      </c>
      <c r="S44" s="11" t="s">
        <v>339</v>
      </c>
      <c r="T44" s="6"/>
      <c r="U44" s="28" t="str">
        <f>HYPERLINK("https://media.infra-m.ru/1843/1843217/cover/1843217.jpg", "Обложка")</f>
        <v>Обложка</v>
      </c>
      <c r="V44" s="28" t="str">
        <f>HYPERLINK("https://znanium.ru/catalog/product/1843217", "Ознакомиться")</f>
        <v>Ознакомиться</v>
      </c>
      <c r="W44" s="8" t="s">
        <v>74</v>
      </c>
      <c r="X44" s="6"/>
      <c r="Y44" s="6"/>
      <c r="Z44" s="6"/>
      <c r="AA44" s="6" t="s">
        <v>340</v>
      </c>
    </row>
    <row r="45" spans="1:27" s="4" customFormat="1" ht="51.95" customHeight="1">
      <c r="A45" s="5">
        <v>0</v>
      </c>
      <c r="B45" s="6" t="s">
        <v>341</v>
      </c>
      <c r="C45" s="7">
        <v>1260</v>
      </c>
      <c r="D45" s="8" t="s">
        <v>342</v>
      </c>
      <c r="E45" s="8" t="s">
        <v>343</v>
      </c>
      <c r="F45" s="8" t="s">
        <v>344</v>
      </c>
      <c r="G45" s="6" t="s">
        <v>53</v>
      </c>
      <c r="H45" s="6" t="s">
        <v>38</v>
      </c>
      <c r="I45" s="8" t="s">
        <v>106</v>
      </c>
      <c r="J45" s="9">
        <v>20</v>
      </c>
      <c r="K45" s="9">
        <v>321</v>
      </c>
      <c r="L45" s="9">
        <v>2022</v>
      </c>
      <c r="M45" s="8" t="s">
        <v>345</v>
      </c>
      <c r="N45" s="8" t="s">
        <v>41</v>
      </c>
      <c r="O45" s="8" t="s">
        <v>42</v>
      </c>
      <c r="P45" s="6" t="s">
        <v>110</v>
      </c>
      <c r="Q45" s="8" t="s">
        <v>111</v>
      </c>
      <c r="R45" s="10" t="s">
        <v>346</v>
      </c>
      <c r="S45" s="11"/>
      <c r="T45" s="6"/>
      <c r="U45" s="28" t="str">
        <f>HYPERLINK("https://media.infra-m.ru/1021/1021973/cover/1021973.jpg", "Обложка")</f>
        <v>Обложка</v>
      </c>
      <c r="V45" s="28" t="str">
        <f>HYPERLINK("https://znanium.ru/catalog/product/1021973", "Ознакомиться")</f>
        <v>Ознакомиться</v>
      </c>
      <c r="W45" s="8" t="s">
        <v>347</v>
      </c>
      <c r="X45" s="6"/>
      <c r="Y45" s="6"/>
      <c r="Z45" s="6"/>
      <c r="AA45" s="6" t="s">
        <v>289</v>
      </c>
    </row>
    <row r="46" spans="1:27" s="4" customFormat="1" ht="42" customHeight="1">
      <c r="A46" s="5">
        <v>0</v>
      </c>
      <c r="B46" s="6" t="s">
        <v>348</v>
      </c>
      <c r="C46" s="7">
        <v>2594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67</v>
      </c>
      <c r="I46" s="8" t="s">
        <v>39</v>
      </c>
      <c r="J46" s="9">
        <v>1</v>
      </c>
      <c r="K46" s="9">
        <v>601</v>
      </c>
      <c r="L46" s="9">
        <v>2024</v>
      </c>
      <c r="M46" s="8" t="s">
        <v>352</v>
      </c>
      <c r="N46" s="8" t="s">
        <v>41</v>
      </c>
      <c r="O46" s="8" t="s">
        <v>42</v>
      </c>
      <c r="P46" s="6" t="s">
        <v>70</v>
      </c>
      <c r="Q46" s="8" t="s">
        <v>44</v>
      </c>
      <c r="R46" s="10" t="s">
        <v>353</v>
      </c>
      <c r="S46" s="11"/>
      <c r="T46" s="6"/>
      <c r="U46" s="28" t="str">
        <f>HYPERLINK("https://media.infra-m.ru/2084/2084500/cover/2084500.jpg", "Обложка")</f>
        <v>Обложка</v>
      </c>
      <c r="V46" s="28" t="str">
        <f>HYPERLINK("https://znanium.ru/catalog/product/1815909", "Ознакомиться")</f>
        <v>Ознакомиться</v>
      </c>
      <c r="W46" s="8" t="s">
        <v>140</v>
      </c>
      <c r="X46" s="6"/>
      <c r="Y46" s="6"/>
      <c r="Z46" s="6"/>
      <c r="AA46" s="6" t="s">
        <v>354</v>
      </c>
    </row>
    <row r="47" spans="1:27" s="4" customFormat="1" ht="51.95" customHeight="1">
      <c r="A47" s="5">
        <v>0</v>
      </c>
      <c r="B47" s="6" t="s">
        <v>355</v>
      </c>
      <c r="C47" s="13">
        <v>840</v>
      </c>
      <c r="D47" s="8" t="s">
        <v>356</v>
      </c>
      <c r="E47" s="8" t="s">
        <v>357</v>
      </c>
      <c r="F47" s="8" t="s">
        <v>358</v>
      </c>
      <c r="G47" s="6" t="s">
        <v>53</v>
      </c>
      <c r="H47" s="6" t="s">
        <v>67</v>
      </c>
      <c r="I47" s="8" t="s">
        <v>106</v>
      </c>
      <c r="J47" s="9">
        <v>1</v>
      </c>
      <c r="K47" s="9">
        <v>164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110</v>
      </c>
      <c r="Q47" s="8" t="s">
        <v>111</v>
      </c>
      <c r="R47" s="10" t="s">
        <v>360</v>
      </c>
      <c r="S47" s="11"/>
      <c r="T47" s="6"/>
      <c r="U47" s="28" t="str">
        <f>HYPERLINK("https://media.infra-m.ru/2005/2005171/cover/2005171.jpg", "Обложка")</f>
        <v>Обложка</v>
      </c>
      <c r="V47" s="28" t="str">
        <f>HYPERLINK("https://znanium.ru/catalog/product/1911012", "Ознакомиться")</f>
        <v>Ознакомиться</v>
      </c>
      <c r="W47" s="8" t="s">
        <v>361</v>
      </c>
      <c r="X47" s="6"/>
      <c r="Y47" s="6"/>
      <c r="Z47" s="6"/>
      <c r="AA47" s="6" t="s">
        <v>115</v>
      </c>
    </row>
    <row r="48" spans="1:27" s="4" customFormat="1" ht="51.95" customHeight="1">
      <c r="A48" s="5">
        <v>0</v>
      </c>
      <c r="B48" s="6" t="s">
        <v>362</v>
      </c>
      <c r="C48" s="7">
        <v>2449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173</v>
      </c>
      <c r="I48" s="8" t="s">
        <v>39</v>
      </c>
      <c r="J48" s="9">
        <v>1</v>
      </c>
      <c r="K48" s="9">
        <v>432</v>
      </c>
      <c r="L48" s="9">
        <v>2023</v>
      </c>
      <c r="M48" s="8" t="s">
        <v>366</v>
      </c>
      <c r="N48" s="8" t="s">
        <v>108</v>
      </c>
      <c r="O48" s="8" t="s">
        <v>109</v>
      </c>
      <c r="P48" s="6" t="s">
        <v>43</v>
      </c>
      <c r="Q48" s="8" t="s">
        <v>44</v>
      </c>
      <c r="R48" s="10" t="s">
        <v>367</v>
      </c>
      <c r="S48" s="11" t="s">
        <v>368</v>
      </c>
      <c r="T48" s="6"/>
      <c r="U48" s="28" t="str">
        <f>HYPERLINK("https://media.infra-m.ru/1940/1940914/cover/1940914.jpg", "Обложка")</f>
        <v>Обложка</v>
      </c>
      <c r="V48" s="28" t="str">
        <f>HYPERLINK("https://znanium.ru/catalog/product/1940914", "Ознакомиться")</f>
        <v>Ознакомиться</v>
      </c>
      <c r="W48" s="8" t="s">
        <v>369</v>
      </c>
      <c r="X48" s="6"/>
      <c r="Y48" s="6"/>
      <c r="Z48" s="6"/>
      <c r="AA48" s="6" t="s">
        <v>227</v>
      </c>
    </row>
    <row r="49" spans="1:27" s="4" customFormat="1" ht="51.95" customHeight="1">
      <c r="A49" s="5">
        <v>0</v>
      </c>
      <c r="B49" s="6" t="s">
        <v>370</v>
      </c>
      <c r="C49" s="7">
        <v>2599</v>
      </c>
      <c r="D49" s="8" t="s">
        <v>371</v>
      </c>
      <c r="E49" s="8" t="s">
        <v>372</v>
      </c>
      <c r="F49" s="8" t="s">
        <v>373</v>
      </c>
      <c r="G49" s="6" t="s">
        <v>37</v>
      </c>
      <c r="H49" s="6" t="s">
        <v>67</v>
      </c>
      <c r="I49" s="8" t="s">
        <v>54</v>
      </c>
      <c r="J49" s="9">
        <v>1</v>
      </c>
      <c r="K49" s="9">
        <v>478</v>
      </c>
      <c r="L49" s="9">
        <v>2024</v>
      </c>
      <c r="M49" s="8" t="s">
        <v>374</v>
      </c>
      <c r="N49" s="8" t="s">
        <v>108</v>
      </c>
      <c r="O49" s="8" t="s">
        <v>109</v>
      </c>
      <c r="P49" s="6" t="s">
        <v>43</v>
      </c>
      <c r="Q49" s="8" t="s">
        <v>44</v>
      </c>
      <c r="R49" s="10" t="s">
        <v>367</v>
      </c>
      <c r="S49" s="11" t="s">
        <v>375</v>
      </c>
      <c r="T49" s="6"/>
      <c r="U49" s="28" t="str">
        <f>HYPERLINK("https://media.infra-m.ru/1223/1223290/cover/1223290.jpg", "Обложка")</f>
        <v>Обложка</v>
      </c>
      <c r="V49" s="28" t="str">
        <f>HYPERLINK("https://znanium.ru/catalog/product/1940914", "Ознакомиться")</f>
        <v>Ознакомиться</v>
      </c>
      <c r="W49" s="8" t="s">
        <v>369</v>
      </c>
      <c r="X49" s="6" t="s">
        <v>376</v>
      </c>
      <c r="Y49" s="6"/>
      <c r="Z49" s="6"/>
      <c r="AA49" s="6" t="s">
        <v>377</v>
      </c>
    </row>
    <row r="50" spans="1:27" s="4" customFormat="1" ht="42" customHeight="1">
      <c r="A50" s="5">
        <v>0</v>
      </c>
      <c r="B50" s="6" t="s">
        <v>378</v>
      </c>
      <c r="C50" s="7">
        <v>1100</v>
      </c>
      <c r="D50" s="8" t="s">
        <v>379</v>
      </c>
      <c r="E50" s="8" t="s">
        <v>380</v>
      </c>
      <c r="F50" s="8" t="s">
        <v>381</v>
      </c>
      <c r="G50" s="6" t="s">
        <v>53</v>
      </c>
      <c r="H50" s="6" t="s">
        <v>67</v>
      </c>
      <c r="I50" s="8" t="s">
        <v>106</v>
      </c>
      <c r="J50" s="9">
        <v>1</v>
      </c>
      <c r="K50" s="9">
        <v>226</v>
      </c>
      <c r="L50" s="9">
        <v>2023</v>
      </c>
      <c r="M50" s="8" t="s">
        <v>382</v>
      </c>
      <c r="N50" s="8" t="s">
        <v>41</v>
      </c>
      <c r="O50" s="8" t="s">
        <v>42</v>
      </c>
      <c r="P50" s="6" t="s">
        <v>110</v>
      </c>
      <c r="Q50" s="8" t="s">
        <v>111</v>
      </c>
      <c r="R50" s="10" t="s">
        <v>330</v>
      </c>
      <c r="S50" s="11"/>
      <c r="T50" s="6"/>
      <c r="U50" s="28" t="str">
        <f>HYPERLINK("https://media.infra-m.ru/2035/2035493/cover/2035493.jpg", "Обложка")</f>
        <v>Обложка</v>
      </c>
      <c r="V50" s="28" t="str">
        <f>HYPERLINK("https://znanium.ru/catalog/product/2035493", "Ознакомиться")</f>
        <v>Ознакомиться</v>
      </c>
      <c r="W50" s="8" t="s">
        <v>383</v>
      </c>
      <c r="X50" s="6" t="s">
        <v>384</v>
      </c>
      <c r="Y50" s="6"/>
      <c r="Z50" s="6"/>
      <c r="AA50" s="6" t="s">
        <v>115</v>
      </c>
    </row>
    <row r="51" spans="1:27" s="4" customFormat="1" ht="44.1" customHeight="1">
      <c r="A51" s="5">
        <v>0</v>
      </c>
      <c r="B51" s="6" t="s">
        <v>385</v>
      </c>
      <c r="C51" s="7">
        <v>1470</v>
      </c>
      <c r="D51" s="8" t="s">
        <v>386</v>
      </c>
      <c r="E51" s="8" t="s">
        <v>387</v>
      </c>
      <c r="F51" s="8" t="s">
        <v>388</v>
      </c>
      <c r="G51" s="6" t="s">
        <v>53</v>
      </c>
      <c r="H51" s="6" t="s">
        <v>67</v>
      </c>
      <c r="I51" s="8" t="s">
        <v>106</v>
      </c>
      <c r="J51" s="9">
        <v>1</v>
      </c>
      <c r="K51" s="9">
        <v>315</v>
      </c>
      <c r="L51" s="9">
        <v>2022</v>
      </c>
      <c r="M51" s="8" t="s">
        <v>389</v>
      </c>
      <c r="N51" s="8" t="s">
        <v>41</v>
      </c>
      <c r="O51" s="8" t="s">
        <v>42</v>
      </c>
      <c r="P51" s="6" t="s">
        <v>110</v>
      </c>
      <c r="Q51" s="8" t="s">
        <v>111</v>
      </c>
      <c r="R51" s="10" t="s">
        <v>390</v>
      </c>
      <c r="S51" s="11"/>
      <c r="T51" s="6"/>
      <c r="U51" s="28" t="str">
        <f>HYPERLINK("https://media.infra-m.ru/1816/1816638/cover/1816638.jpg", "Обложка")</f>
        <v>Обложка</v>
      </c>
      <c r="V51" s="28" t="str">
        <f>HYPERLINK("https://znanium.ru/catalog/product/1816638", "Ознакомиться")</f>
        <v>Ознакомиться</v>
      </c>
      <c r="W51" s="8" t="s">
        <v>369</v>
      </c>
      <c r="X51" s="6"/>
      <c r="Y51" s="6"/>
      <c r="Z51" s="6"/>
      <c r="AA51" s="6" t="s">
        <v>244</v>
      </c>
    </row>
    <row r="52" spans="1:27" s="4" customFormat="1" ht="51.95" customHeight="1">
      <c r="A52" s="5">
        <v>0</v>
      </c>
      <c r="B52" s="6" t="s">
        <v>391</v>
      </c>
      <c r="C52" s="7">
        <v>2074.9</v>
      </c>
      <c r="D52" s="8" t="s">
        <v>392</v>
      </c>
      <c r="E52" s="8" t="s">
        <v>393</v>
      </c>
      <c r="F52" s="8" t="s">
        <v>394</v>
      </c>
      <c r="G52" s="6" t="s">
        <v>66</v>
      </c>
      <c r="H52" s="6" t="s">
        <v>67</v>
      </c>
      <c r="I52" s="8" t="s">
        <v>39</v>
      </c>
      <c r="J52" s="9">
        <v>1</v>
      </c>
      <c r="K52" s="9">
        <v>462</v>
      </c>
      <c r="L52" s="9">
        <v>2023</v>
      </c>
      <c r="M52" s="8" t="s">
        <v>395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258</v>
      </c>
      <c r="S52" s="11" t="s">
        <v>396</v>
      </c>
      <c r="T52" s="6"/>
      <c r="U52" s="28" t="str">
        <f>HYPERLINK("https://media.infra-m.ru/1981/1981686/cover/1981686.jpg", "Обложка")</f>
        <v>Обложка</v>
      </c>
      <c r="V52" s="28" t="str">
        <f>HYPERLINK("https://znanium.ru/catalog/product/1007981", "Ознакомиться")</f>
        <v>Ознакомиться</v>
      </c>
      <c r="W52" s="8" t="s">
        <v>369</v>
      </c>
      <c r="X52" s="6"/>
      <c r="Y52" s="6"/>
      <c r="Z52" s="6"/>
      <c r="AA52" s="6" t="s">
        <v>289</v>
      </c>
    </row>
    <row r="53" spans="1:27" s="4" customFormat="1" ht="51.95" customHeight="1">
      <c r="A53" s="5">
        <v>0</v>
      </c>
      <c r="B53" s="6" t="s">
        <v>397</v>
      </c>
      <c r="C53" s="7">
        <v>2904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67</v>
      </c>
      <c r="I53" s="8" t="s">
        <v>39</v>
      </c>
      <c r="J53" s="9">
        <v>1</v>
      </c>
      <c r="K53" s="9">
        <v>630</v>
      </c>
      <c r="L53" s="9">
        <v>2024</v>
      </c>
      <c r="M53" s="8" t="s">
        <v>401</v>
      </c>
      <c r="N53" s="8" t="s">
        <v>41</v>
      </c>
      <c r="O53" s="8" t="s">
        <v>42</v>
      </c>
      <c r="P53" s="6" t="s">
        <v>295</v>
      </c>
      <c r="Q53" s="8" t="s">
        <v>44</v>
      </c>
      <c r="R53" s="10" t="s">
        <v>402</v>
      </c>
      <c r="S53" s="11" t="s">
        <v>403</v>
      </c>
      <c r="T53" s="6"/>
      <c r="U53" s="28" t="str">
        <f>HYPERLINK("https://media.infra-m.ru/2140/2140629/cover/2140629.jpg", "Обложка")</f>
        <v>Обложка</v>
      </c>
      <c r="V53" s="28" t="str">
        <f>HYPERLINK("https://znanium.ru/catalog/product/1939088", "Ознакомиться")</f>
        <v>Ознакомиться</v>
      </c>
      <c r="W53" s="8" t="s">
        <v>369</v>
      </c>
      <c r="X53" s="6"/>
      <c r="Y53" s="6"/>
      <c r="Z53" s="6"/>
      <c r="AA53" s="6" t="s">
        <v>289</v>
      </c>
    </row>
    <row r="54" spans="1:27" s="4" customFormat="1" ht="51.95" customHeight="1">
      <c r="A54" s="5">
        <v>0</v>
      </c>
      <c r="B54" s="6" t="s">
        <v>404</v>
      </c>
      <c r="C54" s="7">
        <v>2444</v>
      </c>
      <c r="D54" s="8" t="s">
        <v>405</v>
      </c>
      <c r="E54" s="8" t="s">
        <v>406</v>
      </c>
      <c r="F54" s="8" t="s">
        <v>407</v>
      </c>
      <c r="G54" s="6" t="s">
        <v>37</v>
      </c>
      <c r="H54" s="6" t="s">
        <v>67</v>
      </c>
      <c r="I54" s="8" t="s">
        <v>54</v>
      </c>
      <c r="J54" s="9">
        <v>1</v>
      </c>
      <c r="K54" s="9">
        <v>520</v>
      </c>
      <c r="L54" s="9">
        <v>2024</v>
      </c>
      <c r="M54" s="8" t="s">
        <v>408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258</v>
      </c>
      <c r="S54" s="11" t="s">
        <v>409</v>
      </c>
      <c r="T54" s="6"/>
      <c r="U54" s="28" t="str">
        <f>HYPERLINK("https://media.infra-m.ru/2146/2146346/cover/2146346.jpg", "Обложка")</f>
        <v>Обложка</v>
      </c>
      <c r="V54" s="28" t="str">
        <f>HYPERLINK("https://znanium.ru/catalog/product/1216848", "Ознакомиться")</f>
        <v>Ознакомиться</v>
      </c>
      <c r="W54" s="8" t="s">
        <v>410</v>
      </c>
      <c r="X54" s="6"/>
      <c r="Y54" s="6"/>
      <c r="Z54" s="6"/>
      <c r="AA54" s="6" t="s">
        <v>177</v>
      </c>
    </row>
    <row r="55" spans="1:27" s="4" customFormat="1" ht="51.95" customHeight="1">
      <c r="A55" s="5">
        <v>0</v>
      </c>
      <c r="B55" s="6" t="s">
        <v>411</v>
      </c>
      <c r="C55" s="13">
        <v>720</v>
      </c>
      <c r="D55" s="8" t="s">
        <v>412</v>
      </c>
      <c r="E55" s="8" t="s">
        <v>413</v>
      </c>
      <c r="F55" s="8" t="s">
        <v>414</v>
      </c>
      <c r="G55" s="6" t="s">
        <v>66</v>
      </c>
      <c r="H55" s="6" t="s">
        <v>67</v>
      </c>
      <c r="I55" s="8" t="s">
        <v>68</v>
      </c>
      <c r="J55" s="9">
        <v>1</v>
      </c>
      <c r="K55" s="9">
        <v>153</v>
      </c>
      <c r="L55" s="9">
        <v>2023</v>
      </c>
      <c r="M55" s="8" t="s">
        <v>415</v>
      </c>
      <c r="N55" s="8" t="s">
        <v>41</v>
      </c>
      <c r="O55" s="8" t="s">
        <v>42</v>
      </c>
      <c r="P55" s="6" t="s">
        <v>43</v>
      </c>
      <c r="Q55" s="8" t="s">
        <v>71</v>
      </c>
      <c r="R55" s="10" t="s">
        <v>416</v>
      </c>
      <c r="S55" s="11" t="s">
        <v>417</v>
      </c>
      <c r="T55" s="6" t="s">
        <v>59</v>
      </c>
      <c r="U55" s="28" t="str">
        <f>HYPERLINK("https://media.infra-m.ru/1907/1907034/cover/1907034.jpg", "Обложка")</f>
        <v>Обложка</v>
      </c>
      <c r="V55" s="28" t="str">
        <f>HYPERLINK("https://znanium.ru/catalog/product/1907034", "Ознакомиться")</f>
        <v>Ознакомиться</v>
      </c>
      <c r="W55" s="8"/>
      <c r="X55" s="6"/>
      <c r="Y55" s="6"/>
      <c r="Z55" s="6"/>
      <c r="AA55" s="6" t="s">
        <v>213</v>
      </c>
    </row>
    <row r="56" spans="1:27" s="4" customFormat="1" ht="51.95" customHeight="1">
      <c r="A56" s="5">
        <v>0</v>
      </c>
      <c r="B56" s="6" t="s">
        <v>418</v>
      </c>
      <c r="C56" s="13">
        <v>350</v>
      </c>
      <c r="D56" s="8" t="s">
        <v>419</v>
      </c>
      <c r="E56" s="8" t="s">
        <v>420</v>
      </c>
      <c r="F56" s="8" t="s">
        <v>414</v>
      </c>
      <c r="G56" s="6" t="s">
        <v>53</v>
      </c>
      <c r="H56" s="6" t="s">
        <v>67</v>
      </c>
      <c r="I56" s="8" t="s">
        <v>68</v>
      </c>
      <c r="J56" s="9">
        <v>1</v>
      </c>
      <c r="K56" s="9">
        <v>152</v>
      </c>
      <c r="L56" s="9">
        <v>2018</v>
      </c>
      <c r="M56" s="8" t="s">
        <v>421</v>
      </c>
      <c r="N56" s="8" t="s">
        <v>41</v>
      </c>
      <c r="O56" s="8" t="s">
        <v>42</v>
      </c>
      <c r="P56" s="6" t="s">
        <v>43</v>
      </c>
      <c r="Q56" s="8" t="s">
        <v>71</v>
      </c>
      <c r="R56" s="10" t="s">
        <v>416</v>
      </c>
      <c r="S56" s="11" t="s">
        <v>417</v>
      </c>
      <c r="T56" s="6" t="s">
        <v>59</v>
      </c>
      <c r="U56" s="28" t="str">
        <f>HYPERLINK("https://media.infra-m.ru/0933/0933879/cover/933879.jpg", "Обложка")</f>
        <v>Обложка</v>
      </c>
      <c r="V56" s="28" t="str">
        <f>HYPERLINK("https://znanium.ru/catalog/product/1907034", "Ознакомиться")</f>
        <v>Ознакомиться</v>
      </c>
      <c r="W56" s="8"/>
      <c r="X56" s="6"/>
      <c r="Y56" s="6"/>
      <c r="Z56" s="6"/>
      <c r="AA56" s="6" t="s">
        <v>422</v>
      </c>
    </row>
    <row r="57" spans="1:27" s="4" customFormat="1" ht="51.95" customHeight="1">
      <c r="A57" s="5">
        <v>0</v>
      </c>
      <c r="B57" s="6" t="s">
        <v>423</v>
      </c>
      <c r="C57" s="7">
        <v>1574</v>
      </c>
      <c r="D57" s="8" t="s">
        <v>424</v>
      </c>
      <c r="E57" s="8" t="s">
        <v>425</v>
      </c>
      <c r="F57" s="8" t="s">
        <v>426</v>
      </c>
      <c r="G57" s="6" t="s">
        <v>37</v>
      </c>
      <c r="H57" s="6" t="s">
        <v>67</v>
      </c>
      <c r="I57" s="8" t="s">
        <v>39</v>
      </c>
      <c r="J57" s="9">
        <v>1</v>
      </c>
      <c r="K57" s="9">
        <v>343</v>
      </c>
      <c r="L57" s="9">
        <v>2024</v>
      </c>
      <c r="M57" s="8" t="s">
        <v>427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428</v>
      </c>
      <c r="S57" s="11" t="s">
        <v>429</v>
      </c>
      <c r="T57" s="6"/>
      <c r="U57" s="28" t="str">
        <f>HYPERLINK("https://media.infra-m.ru/2087/2087314/cover/2087314.jpg", "Обложка")</f>
        <v>Обложка</v>
      </c>
      <c r="V57" s="28" t="str">
        <f>HYPERLINK("https://znanium.ru/catalog/product/1008121", "Ознакомиться")</f>
        <v>Ознакомиться</v>
      </c>
      <c r="W57" s="8" t="s">
        <v>74</v>
      </c>
      <c r="X57" s="6"/>
      <c r="Y57" s="6"/>
      <c r="Z57" s="6"/>
      <c r="AA57" s="6" t="s">
        <v>61</v>
      </c>
    </row>
    <row r="58" spans="1:27" s="4" customFormat="1" ht="51.95" customHeight="1">
      <c r="A58" s="5">
        <v>0</v>
      </c>
      <c r="B58" s="6" t="s">
        <v>430</v>
      </c>
      <c r="C58" s="7">
        <v>1250</v>
      </c>
      <c r="D58" s="8" t="s">
        <v>431</v>
      </c>
      <c r="E58" s="8" t="s">
        <v>432</v>
      </c>
      <c r="F58" s="8" t="s">
        <v>433</v>
      </c>
      <c r="G58" s="6" t="s">
        <v>66</v>
      </c>
      <c r="H58" s="6" t="s">
        <v>67</v>
      </c>
      <c r="I58" s="8" t="s">
        <v>68</v>
      </c>
      <c r="J58" s="9">
        <v>1</v>
      </c>
      <c r="K58" s="9">
        <v>270</v>
      </c>
      <c r="L58" s="9">
        <v>2024</v>
      </c>
      <c r="M58" s="8" t="s">
        <v>434</v>
      </c>
      <c r="N58" s="8" t="s">
        <v>41</v>
      </c>
      <c r="O58" s="8" t="s">
        <v>42</v>
      </c>
      <c r="P58" s="6" t="s">
        <v>70</v>
      </c>
      <c r="Q58" s="8" t="s">
        <v>71</v>
      </c>
      <c r="R58" s="10" t="s">
        <v>435</v>
      </c>
      <c r="S58" s="11" t="s">
        <v>436</v>
      </c>
      <c r="T58" s="6" t="s">
        <v>59</v>
      </c>
      <c r="U58" s="28" t="str">
        <f>HYPERLINK("https://media.infra-m.ru/2086/2086858/cover/2086858.jpg", "Обложка")</f>
        <v>Обложка</v>
      </c>
      <c r="V58" s="28" t="str">
        <f>HYPERLINK("https://znanium.ru/catalog/product/2086858", "Ознакомиться")</f>
        <v>Ознакомиться</v>
      </c>
      <c r="W58" s="8" t="s">
        <v>140</v>
      </c>
      <c r="X58" s="6"/>
      <c r="Y58" s="6" t="s">
        <v>30</v>
      </c>
      <c r="Z58" s="6"/>
      <c r="AA58" s="6" t="s">
        <v>227</v>
      </c>
    </row>
    <row r="59" spans="1:27" s="4" customFormat="1" ht="51.95" customHeight="1">
      <c r="A59" s="5">
        <v>0</v>
      </c>
      <c r="B59" s="6" t="s">
        <v>437</v>
      </c>
      <c r="C59" s="7">
        <v>1570</v>
      </c>
      <c r="D59" s="8" t="s">
        <v>438</v>
      </c>
      <c r="E59" s="8" t="s">
        <v>439</v>
      </c>
      <c r="F59" s="8" t="s">
        <v>440</v>
      </c>
      <c r="G59" s="6" t="s">
        <v>66</v>
      </c>
      <c r="H59" s="6" t="s">
        <v>67</v>
      </c>
      <c r="I59" s="8" t="s">
        <v>54</v>
      </c>
      <c r="J59" s="9">
        <v>1</v>
      </c>
      <c r="K59" s="9">
        <v>340</v>
      </c>
      <c r="L59" s="9">
        <v>2023</v>
      </c>
      <c r="M59" s="8" t="s">
        <v>441</v>
      </c>
      <c r="N59" s="8" t="s">
        <v>41</v>
      </c>
      <c r="O59" s="8" t="s">
        <v>42</v>
      </c>
      <c r="P59" s="6" t="s">
        <v>43</v>
      </c>
      <c r="Q59" s="8" t="s">
        <v>56</v>
      </c>
      <c r="R59" s="10" t="s">
        <v>442</v>
      </c>
      <c r="S59" s="11" t="s">
        <v>443</v>
      </c>
      <c r="T59" s="6"/>
      <c r="U59" s="28" t="str">
        <f>HYPERLINK("https://media.infra-m.ru/2126/2126762/cover/2126762.jpg", "Обложка")</f>
        <v>Обложка</v>
      </c>
      <c r="V59" s="28" t="str">
        <f>HYPERLINK("https://znanium.ru/catalog/product/1012921", "Ознакомиться")</f>
        <v>Ознакомиться</v>
      </c>
      <c r="W59" s="8" t="s">
        <v>369</v>
      </c>
      <c r="X59" s="6"/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444</v>
      </c>
      <c r="C60" s="7">
        <v>2200</v>
      </c>
      <c r="D60" s="8" t="s">
        <v>445</v>
      </c>
      <c r="E60" s="8" t="s">
        <v>446</v>
      </c>
      <c r="F60" s="8" t="s">
        <v>447</v>
      </c>
      <c r="G60" s="6" t="s">
        <v>37</v>
      </c>
      <c r="H60" s="6" t="s">
        <v>67</v>
      </c>
      <c r="I60" s="8" t="s">
        <v>207</v>
      </c>
      <c r="J60" s="9">
        <v>1</v>
      </c>
      <c r="K60" s="9">
        <v>479</v>
      </c>
      <c r="L60" s="9">
        <v>2024</v>
      </c>
      <c r="M60" s="8" t="s">
        <v>448</v>
      </c>
      <c r="N60" s="8" t="s">
        <v>41</v>
      </c>
      <c r="O60" s="8" t="s">
        <v>42</v>
      </c>
      <c r="P60" s="6" t="s">
        <v>70</v>
      </c>
      <c r="Q60" s="8" t="s">
        <v>209</v>
      </c>
      <c r="R60" s="10" t="s">
        <v>449</v>
      </c>
      <c r="S60" s="11" t="s">
        <v>450</v>
      </c>
      <c r="T60" s="6"/>
      <c r="U60" s="28" t="str">
        <f>HYPERLINK("https://media.infra-m.ru/2082/2082773/cover/2082773.jpg", "Обложка")</f>
        <v>Обложка</v>
      </c>
      <c r="V60" s="28" t="str">
        <f>HYPERLINK("https://znanium.ru/catalog/product/2082773", "Ознакомиться")</f>
        <v>Ознакомиться</v>
      </c>
      <c r="W60" s="8" t="s">
        <v>410</v>
      </c>
      <c r="X60" s="6"/>
      <c r="Y60" s="6"/>
      <c r="Z60" s="6"/>
      <c r="AA60" s="6" t="s">
        <v>451</v>
      </c>
    </row>
    <row r="61" spans="1:27" s="4" customFormat="1" ht="51.95" customHeight="1">
      <c r="A61" s="5">
        <v>0</v>
      </c>
      <c r="B61" s="6" t="s">
        <v>452</v>
      </c>
      <c r="C61" s="7">
        <v>1760</v>
      </c>
      <c r="D61" s="8" t="s">
        <v>453</v>
      </c>
      <c r="E61" s="8" t="s">
        <v>454</v>
      </c>
      <c r="F61" s="8" t="s">
        <v>455</v>
      </c>
      <c r="G61" s="6" t="s">
        <v>66</v>
      </c>
      <c r="H61" s="6" t="s">
        <v>67</v>
      </c>
      <c r="I61" s="8" t="s">
        <v>54</v>
      </c>
      <c r="J61" s="9">
        <v>1</v>
      </c>
      <c r="K61" s="9">
        <v>386</v>
      </c>
      <c r="L61" s="9">
        <v>2023</v>
      </c>
      <c r="M61" s="8" t="s">
        <v>456</v>
      </c>
      <c r="N61" s="8" t="s">
        <v>41</v>
      </c>
      <c r="O61" s="8" t="s">
        <v>42</v>
      </c>
      <c r="P61" s="6" t="s">
        <v>70</v>
      </c>
      <c r="Q61" s="8" t="s">
        <v>56</v>
      </c>
      <c r="R61" s="10" t="s">
        <v>457</v>
      </c>
      <c r="S61" s="11" t="s">
        <v>458</v>
      </c>
      <c r="T61" s="6"/>
      <c r="U61" s="28" t="str">
        <f>HYPERLINK("https://media.infra-m.ru/2019/2019563/cover/2019563.jpg", "Обложка")</f>
        <v>Обложка</v>
      </c>
      <c r="V61" s="28" t="str">
        <f>HYPERLINK("https://znanium.ru/catalog/product/2019563", "Ознакомиться")</f>
        <v>Ознакомиться</v>
      </c>
      <c r="W61" s="8" t="s">
        <v>271</v>
      </c>
      <c r="X61" s="6"/>
      <c r="Y61" s="6"/>
      <c r="Z61" s="6"/>
      <c r="AA61" s="6" t="s">
        <v>126</v>
      </c>
    </row>
    <row r="62" spans="1:27" s="4" customFormat="1" ht="51.95" customHeight="1">
      <c r="A62" s="5">
        <v>0</v>
      </c>
      <c r="B62" s="6" t="s">
        <v>459</v>
      </c>
      <c r="C62" s="7">
        <v>1210</v>
      </c>
      <c r="D62" s="8" t="s">
        <v>460</v>
      </c>
      <c r="E62" s="8" t="s">
        <v>461</v>
      </c>
      <c r="F62" s="8" t="s">
        <v>462</v>
      </c>
      <c r="G62" s="6" t="s">
        <v>66</v>
      </c>
      <c r="H62" s="6" t="s">
        <v>67</v>
      </c>
      <c r="I62" s="8" t="s">
        <v>54</v>
      </c>
      <c r="J62" s="9">
        <v>1</v>
      </c>
      <c r="K62" s="9">
        <v>262</v>
      </c>
      <c r="L62" s="9">
        <v>2024</v>
      </c>
      <c r="M62" s="8" t="s">
        <v>463</v>
      </c>
      <c r="N62" s="8" t="s">
        <v>41</v>
      </c>
      <c r="O62" s="8" t="s">
        <v>42</v>
      </c>
      <c r="P62" s="6" t="s">
        <v>70</v>
      </c>
      <c r="Q62" s="8" t="s">
        <v>44</v>
      </c>
      <c r="R62" s="10" t="s">
        <v>464</v>
      </c>
      <c r="S62" s="11" t="s">
        <v>465</v>
      </c>
      <c r="T62" s="6"/>
      <c r="U62" s="28" t="str">
        <f>HYPERLINK("https://media.infra-m.ru/2098/2098103/cover/2098103.jpg", "Обложка")</f>
        <v>Обложка</v>
      </c>
      <c r="V62" s="28" t="str">
        <f>HYPERLINK("https://znanium.ru/catalog/product/2098103", "Ознакомиться")</f>
        <v>Ознакомиться</v>
      </c>
      <c r="W62" s="8" t="s">
        <v>271</v>
      </c>
      <c r="X62" s="6"/>
      <c r="Y62" s="6"/>
      <c r="Z62" s="6"/>
      <c r="AA62" s="6" t="s">
        <v>466</v>
      </c>
    </row>
    <row r="63" spans="1:27" s="4" customFormat="1" ht="51.95" customHeight="1">
      <c r="A63" s="5">
        <v>0</v>
      </c>
      <c r="B63" s="6" t="s">
        <v>467</v>
      </c>
      <c r="C63" s="7">
        <v>2154</v>
      </c>
      <c r="D63" s="8" t="s">
        <v>468</v>
      </c>
      <c r="E63" s="8" t="s">
        <v>469</v>
      </c>
      <c r="F63" s="8" t="s">
        <v>373</v>
      </c>
      <c r="G63" s="6" t="s">
        <v>66</v>
      </c>
      <c r="H63" s="6" t="s">
        <v>67</v>
      </c>
      <c r="I63" s="8" t="s">
        <v>39</v>
      </c>
      <c r="J63" s="9">
        <v>1</v>
      </c>
      <c r="K63" s="9">
        <v>463</v>
      </c>
      <c r="L63" s="9">
        <v>2023</v>
      </c>
      <c r="M63" s="8" t="s">
        <v>470</v>
      </c>
      <c r="N63" s="8" t="s">
        <v>108</v>
      </c>
      <c r="O63" s="8" t="s">
        <v>109</v>
      </c>
      <c r="P63" s="6" t="s">
        <v>43</v>
      </c>
      <c r="Q63" s="8" t="s">
        <v>44</v>
      </c>
      <c r="R63" s="10" t="s">
        <v>471</v>
      </c>
      <c r="S63" s="11" t="s">
        <v>472</v>
      </c>
      <c r="T63" s="6"/>
      <c r="U63" s="28" t="str">
        <f>HYPERLINK("https://media.infra-m.ru/2020/2020515/cover/2020515.jpg", "Обложка")</f>
        <v>Обложка</v>
      </c>
      <c r="V63" s="28" t="str">
        <f>HYPERLINK("https://znanium.ru/catalog/product/1318618", "Ознакомиться")</f>
        <v>Ознакомиться</v>
      </c>
      <c r="W63" s="8" t="s">
        <v>369</v>
      </c>
      <c r="X63" s="6"/>
      <c r="Y63" s="6"/>
      <c r="Z63" s="6"/>
      <c r="AA63" s="6" t="s">
        <v>244</v>
      </c>
    </row>
    <row r="64" spans="1:27" s="4" customFormat="1" ht="42" customHeight="1">
      <c r="A64" s="5">
        <v>0</v>
      </c>
      <c r="B64" s="6" t="s">
        <v>473</v>
      </c>
      <c r="C64" s="13">
        <v>730</v>
      </c>
      <c r="D64" s="8" t="s">
        <v>474</v>
      </c>
      <c r="E64" s="8" t="s">
        <v>475</v>
      </c>
      <c r="F64" s="8" t="s">
        <v>476</v>
      </c>
      <c r="G64" s="6" t="s">
        <v>53</v>
      </c>
      <c r="H64" s="6" t="s">
        <v>67</v>
      </c>
      <c r="I64" s="8" t="s">
        <v>106</v>
      </c>
      <c r="J64" s="9">
        <v>1</v>
      </c>
      <c r="K64" s="9">
        <v>195</v>
      </c>
      <c r="L64" s="9">
        <v>2021</v>
      </c>
      <c r="M64" s="8" t="s">
        <v>477</v>
      </c>
      <c r="N64" s="8" t="s">
        <v>41</v>
      </c>
      <c r="O64" s="8" t="s">
        <v>42</v>
      </c>
      <c r="P64" s="6" t="s">
        <v>110</v>
      </c>
      <c r="Q64" s="8" t="s">
        <v>111</v>
      </c>
      <c r="R64" s="10" t="s">
        <v>478</v>
      </c>
      <c r="S64" s="11"/>
      <c r="T64" s="6"/>
      <c r="U64" s="28" t="str">
        <f>HYPERLINK("https://media.infra-m.ru/1074/1074097/cover/1074097.jpg", "Обложка")</f>
        <v>Обложка</v>
      </c>
      <c r="V64" s="28" t="str">
        <f>HYPERLINK("https://znanium.ru/catalog/product/1074097", "Ознакомиться")</f>
        <v>Ознакомиться</v>
      </c>
      <c r="W64" s="8" t="s">
        <v>479</v>
      </c>
      <c r="X64" s="6"/>
      <c r="Y64" s="6"/>
      <c r="Z64" s="6"/>
      <c r="AA64" s="6" t="s">
        <v>480</v>
      </c>
    </row>
    <row r="65" spans="1:27" s="4" customFormat="1" ht="42" customHeight="1">
      <c r="A65" s="5">
        <v>0</v>
      </c>
      <c r="B65" s="6" t="s">
        <v>481</v>
      </c>
      <c r="C65" s="7">
        <v>1060</v>
      </c>
      <c r="D65" s="8" t="s">
        <v>482</v>
      </c>
      <c r="E65" s="8" t="s">
        <v>483</v>
      </c>
      <c r="F65" s="8" t="s">
        <v>181</v>
      </c>
      <c r="G65" s="6" t="s">
        <v>66</v>
      </c>
      <c r="H65" s="6" t="s">
        <v>67</v>
      </c>
      <c r="I65" s="8" t="s">
        <v>54</v>
      </c>
      <c r="J65" s="9">
        <v>1</v>
      </c>
      <c r="K65" s="9">
        <v>206</v>
      </c>
      <c r="L65" s="9">
        <v>2024</v>
      </c>
      <c r="M65" s="8" t="s">
        <v>484</v>
      </c>
      <c r="N65" s="8" t="s">
        <v>108</v>
      </c>
      <c r="O65" s="8" t="s">
        <v>109</v>
      </c>
      <c r="P65" s="6" t="s">
        <v>70</v>
      </c>
      <c r="Q65" s="8" t="s">
        <v>44</v>
      </c>
      <c r="R65" s="10" t="s">
        <v>242</v>
      </c>
      <c r="S65" s="11"/>
      <c r="T65" s="6"/>
      <c r="U65" s="28" t="str">
        <f>HYPERLINK("https://media.infra-m.ru/2147/2147918/cover/2147918.jpg", "Обложка")</f>
        <v>Обложка</v>
      </c>
      <c r="V65" s="28" t="str">
        <f>HYPERLINK("https://znanium.ru/catalog/product/2147918", "Ознакомиться")</f>
        <v>Ознакомиться</v>
      </c>
      <c r="W65" s="8" t="s">
        <v>184</v>
      </c>
      <c r="X65" s="6"/>
      <c r="Y65" s="6"/>
      <c r="Z65" s="6"/>
      <c r="AA65" s="6" t="s">
        <v>485</v>
      </c>
    </row>
    <row r="66" spans="1:27" s="4" customFormat="1" ht="51.95" customHeight="1">
      <c r="A66" s="5">
        <v>0</v>
      </c>
      <c r="B66" s="6" t="s">
        <v>486</v>
      </c>
      <c r="C66" s="7">
        <v>1724</v>
      </c>
      <c r="D66" s="8" t="s">
        <v>487</v>
      </c>
      <c r="E66" s="8" t="s">
        <v>488</v>
      </c>
      <c r="F66" s="8" t="s">
        <v>489</v>
      </c>
      <c r="G66" s="6" t="s">
        <v>66</v>
      </c>
      <c r="H66" s="6" t="s">
        <v>67</v>
      </c>
      <c r="I66" s="8" t="s">
        <v>68</v>
      </c>
      <c r="J66" s="9">
        <v>1</v>
      </c>
      <c r="K66" s="9">
        <v>367</v>
      </c>
      <c r="L66" s="9">
        <v>2024</v>
      </c>
      <c r="M66" s="8" t="s">
        <v>490</v>
      </c>
      <c r="N66" s="8" t="s">
        <v>108</v>
      </c>
      <c r="O66" s="8" t="s">
        <v>109</v>
      </c>
      <c r="P66" s="6" t="s">
        <v>43</v>
      </c>
      <c r="Q66" s="8" t="s">
        <v>71</v>
      </c>
      <c r="R66" s="10" t="s">
        <v>491</v>
      </c>
      <c r="S66" s="11" t="s">
        <v>492</v>
      </c>
      <c r="T66" s="6"/>
      <c r="U66" s="28" t="str">
        <f>HYPERLINK("https://media.infra-m.ru/2136/2136875/cover/2136875.jpg", "Обложка")</f>
        <v>Обложка</v>
      </c>
      <c r="V66" s="28" t="str">
        <f>HYPERLINK("https://znanium.ru/catalog/product/1930719", "Ознакомиться")</f>
        <v>Ознакомиться</v>
      </c>
      <c r="W66" s="8" t="s">
        <v>493</v>
      </c>
      <c r="X66" s="6"/>
      <c r="Y66" s="6"/>
      <c r="Z66" s="6"/>
      <c r="AA66" s="6" t="s">
        <v>305</v>
      </c>
    </row>
    <row r="67" spans="1:27" s="4" customFormat="1" ht="42" customHeight="1">
      <c r="A67" s="5">
        <v>0</v>
      </c>
      <c r="B67" s="6" t="s">
        <v>494</v>
      </c>
      <c r="C67" s="13">
        <v>724</v>
      </c>
      <c r="D67" s="8" t="s">
        <v>495</v>
      </c>
      <c r="E67" s="8" t="s">
        <v>496</v>
      </c>
      <c r="F67" s="8" t="s">
        <v>497</v>
      </c>
      <c r="G67" s="6" t="s">
        <v>37</v>
      </c>
      <c r="H67" s="6" t="s">
        <v>67</v>
      </c>
      <c r="I67" s="8" t="s">
        <v>54</v>
      </c>
      <c r="J67" s="9">
        <v>1</v>
      </c>
      <c r="K67" s="9">
        <v>156</v>
      </c>
      <c r="L67" s="9">
        <v>2023</v>
      </c>
      <c r="M67" s="8" t="s">
        <v>498</v>
      </c>
      <c r="N67" s="8" t="s">
        <v>41</v>
      </c>
      <c r="O67" s="8" t="s">
        <v>42</v>
      </c>
      <c r="P67" s="6" t="s">
        <v>295</v>
      </c>
      <c r="Q67" s="8" t="s">
        <v>44</v>
      </c>
      <c r="R67" s="10" t="s">
        <v>258</v>
      </c>
      <c r="S67" s="11"/>
      <c r="T67" s="6"/>
      <c r="U67" s="28" t="str">
        <f>HYPERLINK("https://media.infra-m.ru/1894/1894569/cover/1894569.jpg", "Обложка")</f>
        <v>Обложка</v>
      </c>
      <c r="V67" s="28" t="str">
        <f>HYPERLINK("https://znanium.ru/catalog/product/560431", "Ознакомиться")</f>
        <v>Ознакомиться</v>
      </c>
      <c r="W67" s="8" t="s">
        <v>499</v>
      </c>
      <c r="X67" s="6"/>
      <c r="Y67" s="6"/>
      <c r="Z67" s="6"/>
      <c r="AA67" s="6" t="s">
        <v>177</v>
      </c>
    </row>
    <row r="68" spans="1:27" s="4" customFormat="1" ht="42" customHeight="1">
      <c r="A68" s="5">
        <v>0</v>
      </c>
      <c r="B68" s="6" t="s">
        <v>500</v>
      </c>
      <c r="C68" s="7">
        <v>1000</v>
      </c>
      <c r="D68" s="8" t="s">
        <v>501</v>
      </c>
      <c r="E68" s="8" t="s">
        <v>502</v>
      </c>
      <c r="F68" s="8" t="s">
        <v>231</v>
      </c>
      <c r="G68" s="6" t="s">
        <v>37</v>
      </c>
      <c r="H68" s="6" t="s">
        <v>67</v>
      </c>
      <c r="I68" s="8" t="s">
        <v>106</v>
      </c>
      <c r="J68" s="9">
        <v>1</v>
      </c>
      <c r="K68" s="9">
        <v>193</v>
      </c>
      <c r="L68" s="9">
        <v>2024</v>
      </c>
      <c r="M68" s="8" t="s">
        <v>503</v>
      </c>
      <c r="N68" s="8" t="s">
        <v>41</v>
      </c>
      <c r="O68" s="8" t="s">
        <v>42</v>
      </c>
      <c r="P68" s="6" t="s">
        <v>110</v>
      </c>
      <c r="Q68" s="8" t="s">
        <v>111</v>
      </c>
      <c r="R68" s="10" t="s">
        <v>504</v>
      </c>
      <c r="S68" s="11"/>
      <c r="T68" s="6"/>
      <c r="U68" s="28" t="str">
        <f>HYPERLINK("https://media.infra-m.ru/2100/2100003/cover/2100003.jpg", "Обложка")</f>
        <v>Обложка</v>
      </c>
      <c r="V68" s="28" t="str">
        <f>HYPERLINK("https://znanium.ru/catalog/product/2100003", "Ознакомиться")</f>
        <v>Ознакомиться</v>
      </c>
      <c r="W68" s="8" t="s">
        <v>235</v>
      </c>
      <c r="X68" s="6" t="s">
        <v>505</v>
      </c>
      <c r="Y68" s="6"/>
      <c r="Z68" s="6"/>
      <c r="AA68" s="6" t="s">
        <v>485</v>
      </c>
    </row>
    <row r="69" spans="1:27" s="4" customFormat="1" ht="51.95" customHeight="1">
      <c r="A69" s="5">
        <v>0</v>
      </c>
      <c r="B69" s="6" t="s">
        <v>506</v>
      </c>
      <c r="C69" s="7">
        <v>1817</v>
      </c>
      <c r="D69" s="8" t="s">
        <v>507</v>
      </c>
      <c r="E69" s="8" t="s">
        <v>508</v>
      </c>
      <c r="F69" s="8" t="s">
        <v>373</v>
      </c>
      <c r="G69" s="6" t="s">
        <v>37</v>
      </c>
      <c r="H69" s="6" t="s">
        <v>173</v>
      </c>
      <c r="I69" s="8" t="s">
        <v>39</v>
      </c>
      <c r="J69" s="9">
        <v>1</v>
      </c>
      <c r="K69" s="9">
        <v>304</v>
      </c>
      <c r="L69" s="9">
        <v>2024</v>
      </c>
      <c r="M69" s="8" t="s">
        <v>509</v>
      </c>
      <c r="N69" s="8" t="s">
        <v>108</v>
      </c>
      <c r="O69" s="8" t="s">
        <v>109</v>
      </c>
      <c r="P69" s="6" t="s">
        <v>43</v>
      </c>
      <c r="Q69" s="8" t="s">
        <v>44</v>
      </c>
      <c r="R69" s="10" t="s">
        <v>510</v>
      </c>
      <c r="S69" s="11"/>
      <c r="T69" s="6"/>
      <c r="U69" s="28" t="str">
        <f>HYPERLINK("https://media.infra-m.ru/2087/2087305/cover/2087305.jpg", "Обложка")</f>
        <v>Обложка</v>
      </c>
      <c r="V69" s="28" t="str">
        <f>HYPERLINK("https://znanium.ru/catalog/product/1003290", "Ознакомиться")</f>
        <v>Ознакомиться</v>
      </c>
      <c r="W69" s="8" t="s">
        <v>369</v>
      </c>
      <c r="X69" s="6"/>
      <c r="Y69" s="6"/>
      <c r="Z69" s="6"/>
      <c r="AA69" s="6" t="s">
        <v>177</v>
      </c>
    </row>
    <row r="70" spans="1:27" s="4" customFormat="1" ht="51.95" customHeight="1">
      <c r="A70" s="5">
        <v>0</v>
      </c>
      <c r="B70" s="6" t="s">
        <v>511</v>
      </c>
      <c r="C70" s="7">
        <v>1782</v>
      </c>
      <c r="D70" s="8" t="s">
        <v>512</v>
      </c>
      <c r="E70" s="8" t="s">
        <v>508</v>
      </c>
      <c r="F70" s="8" t="s">
        <v>373</v>
      </c>
      <c r="G70" s="6" t="s">
        <v>66</v>
      </c>
      <c r="H70" s="6" t="s">
        <v>173</v>
      </c>
      <c r="I70" s="8" t="s">
        <v>68</v>
      </c>
      <c r="J70" s="9">
        <v>1</v>
      </c>
      <c r="K70" s="9">
        <v>304</v>
      </c>
      <c r="L70" s="9">
        <v>2023</v>
      </c>
      <c r="M70" s="8" t="s">
        <v>513</v>
      </c>
      <c r="N70" s="8" t="s">
        <v>108</v>
      </c>
      <c r="O70" s="8" t="s">
        <v>109</v>
      </c>
      <c r="P70" s="6" t="s">
        <v>43</v>
      </c>
      <c r="Q70" s="8" t="s">
        <v>71</v>
      </c>
      <c r="R70" s="10" t="s">
        <v>491</v>
      </c>
      <c r="S70" s="11" t="s">
        <v>514</v>
      </c>
      <c r="T70" s="6"/>
      <c r="U70" s="28" t="str">
        <f>HYPERLINK("https://media.infra-m.ru/1976/1976096/cover/1976096.jpg", "Обложка")</f>
        <v>Обложка</v>
      </c>
      <c r="V70" s="28" t="str">
        <f>HYPERLINK("https://znanium.ru/catalog/product/1976096", "Ознакомиться")</f>
        <v>Ознакомиться</v>
      </c>
      <c r="W70" s="8" t="s">
        <v>369</v>
      </c>
      <c r="X70" s="6"/>
      <c r="Y70" s="6"/>
      <c r="Z70" s="6" t="s">
        <v>132</v>
      </c>
      <c r="AA70" s="6" t="s">
        <v>126</v>
      </c>
    </row>
    <row r="71" spans="1:27" s="4" customFormat="1" ht="51.95" customHeight="1">
      <c r="A71" s="5">
        <v>0</v>
      </c>
      <c r="B71" s="6" t="s">
        <v>515</v>
      </c>
      <c r="C71" s="7">
        <v>1374</v>
      </c>
      <c r="D71" s="8" t="s">
        <v>516</v>
      </c>
      <c r="E71" s="8" t="s">
        <v>517</v>
      </c>
      <c r="F71" s="8" t="s">
        <v>518</v>
      </c>
      <c r="G71" s="6" t="s">
        <v>37</v>
      </c>
      <c r="H71" s="6" t="s">
        <v>67</v>
      </c>
      <c r="I71" s="8" t="s">
        <v>39</v>
      </c>
      <c r="J71" s="9">
        <v>1</v>
      </c>
      <c r="K71" s="9">
        <v>304</v>
      </c>
      <c r="L71" s="9">
        <v>2023</v>
      </c>
      <c r="M71" s="8" t="s">
        <v>519</v>
      </c>
      <c r="N71" s="8" t="s">
        <v>41</v>
      </c>
      <c r="O71" s="8" t="s">
        <v>42</v>
      </c>
      <c r="P71" s="6" t="s">
        <v>70</v>
      </c>
      <c r="Q71" s="8" t="s">
        <v>44</v>
      </c>
      <c r="R71" s="10" t="s">
        <v>520</v>
      </c>
      <c r="S71" s="11" t="s">
        <v>521</v>
      </c>
      <c r="T71" s="6"/>
      <c r="U71" s="28" t="str">
        <f>HYPERLINK("https://media.infra-m.ru/1894/1894570/cover/1894570.jpg", "Обложка")</f>
        <v>Обложка</v>
      </c>
      <c r="V71" s="28" t="str">
        <f>HYPERLINK("https://znanium.ru/catalog/product/1839666", "Ознакомиться")</f>
        <v>Ознакомиться</v>
      </c>
      <c r="W71" s="8" t="s">
        <v>522</v>
      </c>
      <c r="X71" s="6"/>
      <c r="Y71" s="6"/>
      <c r="Z71" s="6"/>
      <c r="AA71" s="6" t="s">
        <v>289</v>
      </c>
    </row>
    <row r="72" spans="1:27" s="4" customFormat="1" ht="51.95" customHeight="1">
      <c r="A72" s="5">
        <v>0</v>
      </c>
      <c r="B72" s="6" t="s">
        <v>523</v>
      </c>
      <c r="C72" s="7">
        <v>2234</v>
      </c>
      <c r="D72" s="8" t="s">
        <v>524</v>
      </c>
      <c r="E72" s="8" t="s">
        <v>525</v>
      </c>
      <c r="F72" s="8" t="s">
        <v>526</v>
      </c>
      <c r="G72" s="6" t="s">
        <v>37</v>
      </c>
      <c r="H72" s="6" t="s">
        <v>527</v>
      </c>
      <c r="I72" s="8" t="s">
        <v>68</v>
      </c>
      <c r="J72" s="9">
        <v>1</v>
      </c>
      <c r="K72" s="9">
        <v>687</v>
      </c>
      <c r="L72" s="9">
        <v>2024</v>
      </c>
      <c r="M72" s="8" t="s">
        <v>528</v>
      </c>
      <c r="N72" s="8" t="s">
        <v>108</v>
      </c>
      <c r="O72" s="8" t="s">
        <v>109</v>
      </c>
      <c r="P72" s="6" t="s">
        <v>70</v>
      </c>
      <c r="Q72" s="8" t="s">
        <v>71</v>
      </c>
      <c r="R72" s="10" t="s">
        <v>529</v>
      </c>
      <c r="S72" s="11" t="s">
        <v>530</v>
      </c>
      <c r="T72" s="6"/>
      <c r="U72" s="28" t="str">
        <f>HYPERLINK("https://media.infra-m.ru/2137/2137926/cover/2137926.jpg", "Обложка")</f>
        <v>Обложка</v>
      </c>
      <c r="V72" s="28" t="str">
        <f>HYPERLINK("https://znanium.ru/catalog/product/1069042", "Ознакомиться")</f>
        <v>Ознакомиться</v>
      </c>
      <c r="W72" s="8" t="s">
        <v>361</v>
      </c>
      <c r="X72" s="6"/>
      <c r="Y72" s="6"/>
      <c r="Z72" s="6"/>
      <c r="AA72" s="6" t="s">
        <v>531</v>
      </c>
    </row>
    <row r="73" spans="1:27" s="4" customFormat="1" ht="42" customHeight="1">
      <c r="A73" s="5">
        <v>0</v>
      </c>
      <c r="B73" s="6" t="s">
        <v>532</v>
      </c>
      <c r="C73" s="7">
        <v>2747</v>
      </c>
      <c r="D73" s="8" t="s">
        <v>533</v>
      </c>
      <c r="E73" s="8" t="s">
        <v>534</v>
      </c>
      <c r="F73" s="8" t="s">
        <v>535</v>
      </c>
      <c r="G73" s="6" t="s">
        <v>66</v>
      </c>
      <c r="H73" s="6" t="s">
        <v>283</v>
      </c>
      <c r="I73" s="8"/>
      <c r="J73" s="9">
        <v>1</v>
      </c>
      <c r="K73" s="9">
        <v>464</v>
      </c>
      <c r="L73" s="9">
        <v>2023</v>
      </c>
      <c r="M73" s="8" t="s">
        <v>536</v>
      </c>
      <c r="N73" s="8" t="s">
        <v>108</v>
      </c>
      <c r="O73" s="8" t="s">
        <v>109</v>
      </c>
      <c r="P73" s="6" t="s">
        <v>43</v>
      </c>
      <c r="Q73" s="8" t="s">
        <v>44</v>
      </c>
      <c r="R73" s="10" t="s">
        <v>330</v>
      </c>
      <c r="S73" s="11"/>
      <c r="T73" s="6"/>
      <c r="U73" s="28" t="str">
        <f>HYPERLINK("https://media.infra-m.ru/2110/2110053/cover/2110053.jpg", "Обложка")</f>
        <v>Обложка</v>
      </c>
      <c r="V73" s="28" t="str">
        <f>HYPERLINK("https://znanium.ru/catalog/product/1899832", "Ознакомиться")</f>
        <v>Ознакомиться</v>
      </c>
      <c r="W73" s="8" t="s">
        <v>288</v>
      </c>
      <c r="X73" s="6"/>
      <c r="Y73" s="6"/>
      <c r="Z73" s="6"/>
      <c r="AA73" s="6" t="s">
        <v>537</v>
      </c>
    </row>
    <row r="74" spans="1:27" s="4" customFormat="1" ht="51.95" customHeight="1">
      <c r="A74" s="5">
        <v>0</v>
      </c>
      <c r="B74" s="6" t="s">
        <v>538</v>
      </c>
      <c r="C74" s="7">
        <v>1210</v>
      </c>
      <c r="D74" s="8" t="s">
        <v>539</v>
      </c>
      <c r="E74" s="8" t="s">
        <v>540</v>
      </c>
      <c r="F74" s="8" t="s">
        <v>541</v>
      </c>
      <c r="G74" s="6" t="s">
        <v>53</v>
      </c>
      <c r="H74" s="6" t="s">
        <v>67</v>
      </c>
      <c r="I74" s="8" t="s">
        <v>106</v>
      </c>
      <c r="J74" s="9">
        <v>1</v>
      </c>
      <c r="K74" s="9">
        <v>242</v>
      </c>
      <c r="L74" s="9">
        <v>2023</v>
      </c>
      <c r="M74" s="8" t="s">
        <v>542</v>
      </c>
      <c r="N74" s="8" t="s">
        <v>41</v>
      </c>
      <c r="O74" s="8" t="s">
        <v>42</v>
      </c>
      <c r="P74" s="6" t="s">
        <v>110</v>
      </c>
      <c r="Q74" s="8" t="s">
        <v>111</v>
      </c>
      <c r="R74" s="10" t="s">
        <v>543</v>
      </c>
      <c r="S74" s="11"/>
      <c r="T74" s="6"/>
      <c r="U74" s="28" t="str">
        <f>HYPERLINK("https://media.infra-m.ru/1981/1981690/cover/1981690.jpg", "Обложка")</f>
        <v>Обложка</v>
      </c>
      <c r="V74" s="28" t="str">
        <f>HYPERLINK("https://znanium.ru/catalog/product/1981690", "Ознакомиться")</f>
        <v>Ознакомиться</v>
      </c>
      <c r="W74" s="8" t="s">
        <v>369</v>
      </c>
      <c r="X74" s="6" t="s">
        <v>544</v>
      </c>
      <c r="Y74" s="6"/>
      <c r="Z74" s="6"/>
      <c r="AA74" s="6" t="s">
        <v>115</v>
      </c>
    </row>
    <row r="75" spans="1:27" s="4" customFormat="1" ht="51.95" customHeight="1">
      <c r="A75" s="5">
        <v>0</v>
      </c>
      <c r="B75" s="6" t="s">
        <v>545</v>
      </c>
      <c r="C75" s="13">
        <v>734</v>
      </c>
      <c r="D75" s="8" t="s">
        <v>546</v>
      </c>
      <c r="E75" s="8" t="s">
        <v>547</v>
      </c>
      <c r="F75" s="8" t="s">
        <v>548</v>
      </c>
      <c r="G75" s="6" t="s">
        <v>66</v>
      </c>
      <c r="H75" s="6" t="s">
        <v>67</v>
      </c>
      <c r="I75" s="8" t="s">
        <v>68</v>
      </c>
      <c r="J75" s="9">
        <v>1</v>
      </c>
      <c r="K75" s="9">
        <v>159</v>
      </c>
      <c r="L75" s="9">
        <v>2024</v>
      </c>
      <c r="M75" s="8" t="s">
        <v>549</v>
      </c>
      <c r="N75" s="8" t="s">
        <v>41</v>
      </c>
      <c r="O75" s="8" t="s">
        <v>42</v>
      </c>
      <c r="P75" s="6" t="s">
        <v>70</v>
      </c>
      <c r="Q75" s="8" t="s">
        <v>71</v>
      </c>
      <c r="R75" s="10" t="s">
        <v>550</v>
      </c>
      <c r="S75" s="11" t="s">
        <v>551</v>
      </c>
      <c r="T75" s="6"/>
      <c r="U75" s="28" t="str">
        <f>HYPERLINK("https://media.infra-m.ru/2104/2104861/cover/2104861.jpg", "Обложка")</f>
        <v>Обложка</v>
      </c>
      <c r="V75" s="28" t="str">
        <f>HYPERLINK("https://znanium.ru/catalog/product/1851652", "Ознакомиться")</f>
        <v>Ознакомиться</v>
      </c>
      <c r="W75" s="8" t="s">
        <v>74</v>
      </c>
      <c r="X75" s="6"/>
      <c r="Y75" s="6" t="s">
        <v>30</v>
      </c>
      <c r="Z75" s="6"/>
      <c r="AA75" s="6" t="s">
        <v>552</v>
      </c>
    </row>
    <row r="76" spans="1:27" s="4" customFormat="1" ht="51.95" customHeight="1">
      <c r="A76" s="5">
        <v>0</v>
      </c>
      <c r="B76" s="6" t="s">
        <v>553</v>
      </c>
      <c r="C76" s="13">
        <v>714</v>
      </c>
      <c r="D76" s="8" t="s">
        <v>554</v>
      </c>
      <c r="E76" s="8" t="s">
        <v>555</v>
      </c>
      <c r="F76" s="8" t="s">
        <v>556</v>
      </c>
      <c r="G76" s="6" t="s">
        <v>66</v>
      </c>
      <c r="H76" s="6" t="s">
        <v>38</v>
      </c>
      <c r="I76" s="8" t="s">
        <v>39</v>
      </c>
      <c r="J76" s="9">
        <v>1</v>
      </c>
      <c r="K76" s="9">
        <v>152</v>
      </c>
      <c r="L76" s="9">
        <v>2024</v>
      </c>
      <c r="M76" s="8" t="s">
        <v>557</v>
      </c>
      <c r="N76" s="8" t="s">
        <v>41</v>
      </c>
      <c r="O76" s="8" t="s">
        <v>42</v>
      </c>
      <c r="P76" s="6" t="s">
        <v>43</v>
      </c>
      <c r="Q76" s="8" t="s">
        <v>44</v>
      </c>
      <c r="R76" s="10" t="s">
        <v>258</v>
      </c>
      <c r="S76" s="11" t="s">
        <v>558</v>
      </c>
      <c r="T76" s="6"/>
      <c r="U76" s="28" t="str">
        <f>HYPERLINK("https://media.infra-m.ru/1894/1894571/cover/1894571.jpg", "Обложка")</f>
        <v>Обложка</v>
      </c>
      <c r="V76" s="28" t="str">
        <f>HYPERLINK("https://znanium.ru/catalog/product/1862845", "Ознакомиться")</f>
        <v>Ознакомиться</v>
      </c>
      <c r="W76" s="8" t="s">
        <v>47</v>
      </c>
      <c r="X76" s="6"/>
      <c r="Y76" s="6"/>
      <c r="Z76" s="6"/>
      <c r="AA76" s="6" t="s">
        <v>227</v>
      </c>
    </row>
    <row r="77" spans="1:27" s="4" customFormat="1" ht="51.95" customHeight="1">
      <c r="A77" s="5">
        <v>0</v>
      </c>
      <c r="B77" s="6" t="s">
        <v>559</v>
      </c>
      <c r="C77" s="7">
        <v>2199</v>
      </c>
      <c r="D77" s="8" t="s">
        <v>560</v>
      </c>
      <c r="E77" s="8" t="s">
        <v>561</v>
      </c>
      <c r="F77" s="8" t="s">
        <v>373</v>
      </c>
      <c r="G77" s="6" t="s">
        <v>66</v>
      </c>
      <c r="H77" s="6" t="s">
        <v>173</v>
      </c>
      <c r="I77" s="8" t="s">
        <v>68</v>
      </c>
      <c r="J77" s="9">
        <v>1</v>
      </c>
      <c r="K77" s="9">
        <v>368</v>
      </c>
      <c r="L77" s="9">
        <v>2023</v>
      </c>
      <c r="M77" s="8" t="s">
        <v>562</v>
      </c>
      <c r="N77" s="8" t="s">
        <v>108</v>
      </c>
      <c r="O77" s="8" t="s">
        <v>109</v>
      </c>
      <c r="P77" s="6" t="s">
        <v>43</v>
      </c>
      <c r="Q77" s="8" t="s">
        <v>71</v>
      </c>
      <c r="R77" s="10" t="s">
        <v>563</v>
      </c>
      <c r="S77" s="11" t="s">
        <v>564</v>
      </c>
      <c r="T77" s="6"/>
      <c r="U77" s="28" t="str">
        <f>HYPERLINK("https://media.infra-m.ru/1995/1995330/cover/1995330.jpg", "Обложка")</f>
        <v>Обложка</v>
      </c>
      <c r="V77" s="28" t="str">
        <f>HYPERLINK("https://znanium.ru/catalog/product/1995330", "Ознакомиться")</f>
        <v>Ознакомиться</v>
      </c>
      <c r="W77" s="8" t="s">
        <v>369</v>
      </c>
      <c r="X77" s="6"/>
      <c r="Y77" s="6"/>
      <c r="Z77" s="6" t="s">
        <v>132</v>
      </c>
      <c r="AA77" s="6" t="s">
        <v>126</v>
      </c>
    </row>
    <row r="78" spans="1:27" s="4" customFormat="1" ht="51.95" customHeight="1">
      <c r="A78" s="5">
        <v>0</v>
      </c>
      <c r="B78" s="6" t="s">
        <v>565</v>
      </c>
      <c r="C78" s="7">
        <v>1464.9</v>
      </c>
      <c r="D78" s="8" t="s">
        <v>566</v>
      </c>
      <c r="E78" s="8" t="s">
        <v>567</v>
      </c>
      <c r="F78" s="8" t="s">
        <v>568</v>
      </c>
      <c r="G78" s="6" t="s">
        <v>66</v>
      </c>
      <c r="H78" s="6" t="s">
        <v>173</v>
      </c>
      <c r="I78" s="8" t="s">
        <v>39</v>
      </c>
      <c r="J78" s="9">
        <v>1</v>
      </c>
      <c r="K78" s="9">
        <v>304</v>
      </c>
      <c r="L78" s="9">
        <v>2022</v>
      </c>
      <c r="M78" s="8" t="s">
        <v>569</v>
      </c>
      <c r="N78" s="8" t="s">
        <v>108</v>
      </c>
      <c r="O78" s="8" t="s">
        <v>109</v>
      </c>
      <c r="P78" s="6" t="s">
        <v>43</v>
      </c>
      <c r="Q78" s="8" t="s">
        <v>44</v>
      </c>
      <c r="R78" s="10" t="s">
        <v>570</v>
      </c>
      <c r="S78" s="11" t="s">
        <v>571</v>
      </c>
      <c r="T78" s="6"/>
      <c r="U78" s="28" t="str">
        <f>HYPERLINK("https://media.infra-m.ru/1514/1514894/cover/1514894.jpg", "Обложка")</f>
        <v>Обложка</v>
      </c>
      <c r="V78" s="28" t="str">
        <f>HYPERLINK("https://znanium.ru/catalog/product/2150742", "Ознакомиться")</f>
        <v>Ознакомиться</v>
      </c>
      <c r="W78" s="8" t="s">
        <v>522</v>
      </c>
      <c r="X78" s="6"/>
      <c r="Y78" s="6"/>
      <c r="Z78" s="6"/>
      <c r="AA78" s="6" t="s">
        <v>572</v>
      </c>
    </row>
    <row r="79" spans="1:27" s="4" customFormat="1" ht="51.95" customHeight="1">
      <c r="A79" s="5">
        <v>0</v>
      </c>
      <c r="B79" s="6" t="s">
        <v>573</v>
      </c>
      <c r="C79" s="7">
        <v>1500</v>
      </c>
      <c r="D79" s="8" t="s">
        <v>574</v>
      </c>
      <c r="E79" s="8" t="s">
        <v>567</v>
      </c>
      <c r="F79" s="8" t="s">
        <v>568</v>
      </c>
      <c r="G79" s="6" t="s">
        <v>66</v>
      </c>
      <c r="H79" s="6" t="s">
        <v>173</v>
      </c>
      <c r="I79" s="8" t="s">
        <v>68</v>
      </c>
      <c r="J79" s="9">
        <v>1</v>
      </c>
      <c r="K79" s="9">
        <v>304</v>
      </c>
      <c r="L79" s="9">
        <v>2022</v>
      </c>
      <c r="M79" s="8" t="s">
        <v>575</v>
      </c>
      <c r="N79" s="8" t="s">
        <v>108</v>
      </c>
      <c r="O79" s="8" t="s">
        <v>109</v>
      </c>
      <c r="P79" s="6" t="s">
        <v>43</v>
      </c>
      <c r="Q79" s="8" t="s">
        <v>71</v>
      </c>
      <c r="R79" s="10" t="s">
        <v>563</v>
      </c>
      <c r="S79" s="11" t="s">
        <v>576</v>
      </c>
      <c r="T79" s="6"/>
      <c r="U79" s="28" t="str">
        <f>HYPERLINK("https://media.infra-m.ru/1860/1860078/cover/1860078.jpg", "Обложка")</f>
        <v>Обложка</v>
      </c>
      <c r="V79" s="28" t="str">
        <f>HYPERLINK("https://znanium.ru/catalog/product/2136572", "Ознакомиться")</f>
        <v>Ознакомиться</v>
      </c>
      <c r="W79" s="8" t="s">
        <v>522</v>
      </c>
      <c r="X79" s="6"/>
      <c r="Y79" s="6"/>
      <c r="Z79" s="6" t="s">
        <v>132</v>
      </c>
      <c r="AA79" s="6" t="s">
        <v>185</v>
      </c>
    </row>
    <row r="80" spans="1:27" s="4" customFormat="1" ht="42" customHeight="1">
      <c r="A80" s="5">
        <v>0</v>
      </c>
      <c r="B80" s="6" t="s">
        <v>577</v>
      </c>
      <c r="C80" s="7">
        <v>1830</v>
      </c>
      <c r="D80" s="8" t="s">
        <v>578</v>
      </c>
      <c r="E80" s="8" t="s">
        <v>579</v>
      </c>
      <c r="F80" s="8" t="s">
        <v>568</v>
      </c>
      <c r="G80" s="6" t="s">
        <v>66</v>
      </c>
      <c r="H80" s="6" t="s">
        <v>67</v>
      </c>
      <c r="I80" s="8" t="s">
        <v>68</v>
      </c>
      <c r="J80" s="9">
        <v>1</v>
      </c>
      <c r="K80" s="9">
        <v>389</v>
      </c>
      <c r="L80" s="9">
        <v>2024</v>
      </c>
      <c r="M80" s="8" t="s">
        <v>580</v>
      </c>
      <c r="N80" s="8" t="s">
        <v>108</v>
      </c>
      <c r="O80" s="8" t="s">
        <v>109</v>
      </c>
      <c r="P80" s="6" t="s">
        <v>43</v>
      </c>
      <c r="Q80" s="8" t="s">
        <v>71</v>
      </c>
      <c r="R80" s="10" t="s">
        <v>563</v>
      </c>
      <c r="S80" s="11"/>
      <c r="T80" s="6"/>
      <c r="U80" s="28" t="str">
        <f>HYPERLINK("https://media.infra-m.ru/2136/2136572/cover/2136572.jpg", "Обложка")</f>
        <v>Обложка</v>
      </c>
      <c r="V80" s="28" t="str">
        <f>HYPERLINK("https://znanium.ru/catalog/product/2136572", "Ознакомиться")</f>
        <v>Ознакомиться</v>
      </c>
      <c r="W80" s="8" t="s">
        <v>522</v>
      </c>
      <c r="X80" s="6"/>
      <c r="Y80" s="6"/>
      <c r="Z80" s="6" t="s">
        <v>132</v>
      </c>
      <c r="AA80" s="6" t="s">
        <v>581</v>
      </c>
    </row>
    <row r="81" spans="1:27" s="4" customFormat="1" ht="51.95" customHeight="1">
      <c r="A81" s="5">
        <v>0</v>
      </c>
      <c r="B81" s="6" t="s">
        <v>582</v>
      </c>
      <c r="C81" s="7">
        <v>1830</v>
      </c>
      <c r="D81" s="8" t="s">
        <v>583</v>
      </c>
      <c r="E81" s="8" t="s">
        <v>584</v>
      </c>
      <c r="F81" s="8" t="s">
        <v>585</v>
      </c>
      <c r="G81" s="6" t="s">
        <v>66</v>
      </c>
      <c r="H81" s="6" t="s">
        <v>67</v>
      </c>
      <c r="I81" s="8" t="s">
        <v>54</v>
      </c>
      <c r="J81" s="9">
        <v>1</v>
      </c>
      <c r="K81" s="9">
        <v>389</v>
      </c>
      <c r="L81" s="9">
        <v>2024</v>
      </c>
      <c r="M81" s="8" t="s">
        <v>586</v>
      </c>
      <c r="N81" s="8" t="s">
        <v>108</v>
      </c>
      <c r="O81" s="8" t="s">
        <v>109</v>
      </c>
      <c r="P81" s="6" t="s">
        <v>43</v>
      </c>
      <c r="Q81" s="8" t="s">
        <v>44</v>
      </c>
      <c r="R81" s="10" t="s">
        <v>570</v>
      </c>
      <c r="S81" s="11" t="s">
        <v>587</v>
      </c>
      <c r="T81" s="6"/>
      <c r="U81" s="28" t="str">
        <f>HYPERLINK("https://media.infra-m.ru/2150/2150742/cover/2150742.jpg", "Обложка")</f>
        <v>Обложка</v>
      </c>
      <c r="V81" s="28" t="str">
        <f>HYPERLINK("https://znanium.ru/catalog/product/2150742", "Ознакомиться")</f>
        <v>Ознакомиться</v>
      </c>
      <c r="W81" s="8" t="s">
        <v>522</v>
      </c>
      <c r="X81" s="6"/>
      <c r="Y81" s="6"/>
      <c r="Z81" s="6"/>
      <c r="AA81" s="6" t="s">
        <v>588</v>
      </c>
    </row>
    <row r="82" spans="1:27" s="4" customFormat="1" ht="51.95" customHeight="1">
      <c r="A82" s="5">
        <v>0</v>
      </c>
      <c r="B82" s="6" t="s">
        <v>589</v>
      </c>
      <c r="C82" s="7">
        <v>1000</v>
      </c>
      <c r="D82" s="8" t="s">
        <v>590</v>
      </c>
      <c r="E82" s="8" t="s">
        <v>591</v>
      </c>
      <c r="F82" s="8" t="s">
        <v>592</v>
      </c>
      <c r="G82" s="6" t="s">
        <v>66</v>
      </c>
      <c r="H82" s="6" t="s">
        <v>67</v>
      </c>
      <c r="I82" s="8" t="s">
        <v>68</v>
      </c>
      <c r="J82" s="9">
        <v>1</v>
      </c>
      <c r="K82" s="9">
        <v>140</v>
      </c>
      <c r="L82" s="9">
        <v>2024</v>
      </c>
      <c r="M82" s="8" t="s">
        <v>593</v>
      </c>
      <c r="N82" s="8" t="s">
        <v>108</v>
      </c>
      <c r="O82" s="8" t="s">
        <v>109</v>
      </c>
      <c r="P82" s="6" t="s">
        <v>43</v>
      </c>
      <c r="Q82" s="8" t="s">
        <v>71</v>
      </c>
      <c r="R82" s="10" t="s">
        <v>563</v>
      </c>
      <c r="S82" s="11" t="s">
        <v>564</v>
      </c>
      <c r="T82" s="6"/>
      <c r="U82" s="28" t="str">
        <f>HYPERLINK("https://media.infra-m.ru/2139/2139010/cover/2139010.jpg", "Обложка")</f>
        <v>Обложка</v>
      </c>
      <c r="V82" s="28" t="str">
        <f>HYPERLINK("https://znanium.ru/catalog/product/2139010", "Ознакомиться")</f>
        <v>Ознакомиться</v>
      </c>
      <c r="W82" s="8" t="s">
        <v>522</v>
      </c>
      <c r="X82" s="6"/>
      <c r="Y82" s="6"/>
      <c r="Z82" s="6" t="s">
        <v>594</v>
      </c>
      <c r="AA82" s="6" t="s">
        <v>213</v>
      </c>
    </row>
    <row r="83" spans="1:27" s="4" customFormat="1" ht="51.95" customHeight="1">
      <c r="A83" s="5">
        <v>0</v>
      </c>
      <c r="B83" s="6" t="s">
        <v>595</v>
      </c>
      <c r="C83" s="7">
        <v>1349</v>
      </c>
      <c r="D83" s="8" t="s">
        <v>596</v>
      </c>
      <c r="E83" s="8" t="s">
        <v>591</v>
      </c>
      <c r="F83" s="8" t="s">
        <v>592</v>
      </c>
      <c r="G83" s="6" t="s">
        <v>66</v>
      </c>
      <c r="H83" s="6" t="s">
        <v>67</v>
      </c>
      <c r="I83" s="8" t="s">
        <v>54</v>
      </c>
      <c r="J83" s="9">
        <v>1</v>
      </c>
      <c r="K83" s="9">
        <v>140</v>
      </c>
      <c r="L83" s="9">
        <v>2024</v>
      </c>
      <c r="M83" s="8" t="s">
        <v>597</v>
      </c>
      <c r="N83" s="8" t="s">
        <v>108</v>
      </c>
      <c r="O83" s="8" t="s">
        <v>109</v>
      </c>
      <c r="P83" s="6" t="s">
        <v>43</v>
      </c>
      <c r="Q83" s="8" t="s">
        <v>56</v>
      </c>
      <c r="R83" s="10" t="s">
        <v>570</v>
      </c>
      <c r="S83" s="11" t="s">
        <v>598</v>
      </c>
      <c r="T83" s="6"/>
      <c r="U83" s="28" t="str">
        <f>HYPERLINK("https://media.infra-m.ru/2125/2125280/cover/2125280.jpg", "Обложка")</f>
        <v>Обложка</v>
      </c>
      <c r="V83" s="28" t="str">
        <f>HYPERLINK("https://znanium.ru/catalog/product/2125280", "Ознакомиться")</f>
        <v>Ознакомиться</v>
      </c>
      <c r="W83" s="8" t="s">
        <v>522</v>
      </c>
      <c r="X83" s="6"/>
      <c r="Y83" s="6"/>
      <c r="Z83" s="6"/>
      <c r="AA83" s="6" t="s">
        <v>572</v>
      </c>
    </row>
    <row r="84" spans="1:27" s="4" customFormat="1" ht="44.1" customHeight="1">
      <c r="A84" s="5">
        <v>0</v>
      </c>
      <c r="B84" s="6" t="s">
        <v>599</v>
      </c>
      <c r="C84" s="7">
        <v>1030</v>
      </c>
      <c r="D84" s="8" t="s">
        <v>600</v>
      </c>
      <c r="E84" s="8" t="s">
        <v>601</v>
      </c>
      <c r="F84" s="8" t="s">
        <v>602</v>
      </c>
      <c r="G84" s="6" t="s">
        <v>53</v>
      </c>
      <c r="H84" s="6" t="s">
        <v>67</v>
      </c>
      <c r="I84" s="8" t="s">
        <v>106</v>
      </c>
      <c r="J84" s="9">
        <v>1</v>
      </c>
      <c r="K84" s="9">
        <v>228</v>
      </c>
      <c r="L84" s="9">
        <v>2023</v>
      </c>
      <c r="M84" s="8" t="s">
        <v>603</v>
      </c>
      <c r="N84" s="8" t="s">
        <v>41</v>
      </c>
      <c r="O84" s="8" t="s">
        <v>42</v>
      </c>
      <c r="P84" s="6" t="s">
        <v>110</v>
      </c>
      <c r="Q84" s="8" t="s">
        <v>111</v>
      </c>
      <c r="R84" s="10" t="s">
        <v>604</v>
      </c>
      <c r="S84" s="11"/>
      <c r="T84" s="6"/>
      <c r="U84" s="28" t="str">
        <f>HYPERLINK("https://media.infra-m.ru/2019/2019760/cover/2019760.jpg", "Обложка")</f>
        <v>Обложка</v>
      </c>
      <c r="V84" s="28" t="str">
        <f>HYPERLINK("https://znanium.ru/catalog/product/2019760", "Ознакомиться")</f>
        <v>Ознакомиться</v>
      </c>
      <c r="W84" s="8" t="s">
        <v>226</v>
      </c>
      <c r="X84" s="6"/>
      <c r="Y84" s="6"/>
      <c r="Z84" s="6"/>
      <c r="AA84" s="6" t="s">
        <v>126</v>
      </c>
    </row>
    <row r="85" spans="1:27" s="4" customFormat="1" ht="51.95" customHeight="1">
      <c r="A85" s="5">
        <v>0</v>
      </c>
      <c r="B85" s="6" t="s">
        <v>605</v>
      </c>
      <c r="C85" s="13">
        <v>880</v>
      </c>
      <c r="D85" s="8" t="s">
        <v>606</v>
      </c>
      <c r="E85" s="8" t="s">
        <v>607</v>
      </c>
      <c r="F85" s="8" t="s">
        <v>433</v>
      </c>
      <c r="G85" s="6" t="s">
        <v>66</v>
      </c>
      <c r="H85" s="6" t="s">
        <v>67</v>
      </c>
      <c r="I85" s="8" t="s">
        <v>68</v>
      </c>
      <c r="J85" s="9">
        <v>1</v>
      </c>
      <c r="K85" s="9">
        <v>183</v>
      </c>
      <c r="L85" s="9">
        <v>2024</v>
      </c>
      <c r="M85" s="8" t="s">
        <v>608</v>
      </c>
      <c r="N85" s="8" t="s">
        <v>41</v>
      </c>
      <c r="O85" s="8" t="s">
        <v>42</v>
      </c>
      <c r="P85" s="6" t="s">
        <v>70</v>
      </c>
      <c r="Q85" s="8" t="s">
        <v>71</v>
      </c>
      <c r="R85" s="10" t="s">
        <v>89</v>
      </c>
      <c r="S85" s="11" t="s">
        <v>609</v>
      </c>
      <c r="T85" s="6"/>
      <c r="U85" s="28" t="str">
        <f>HYPERLINK("https://media.infra-m.ru/2132/2132240/cover/2132240.jpg", "Обложка")</f>
        <v>Обложка</v>
      </c>
      <c r="V85" s="28" t="str">
        <f>HYPERLINK("https://znanium.ru/catalog/product/2132240", "Ознакомиться")</f>
        <v>Ознакомиться</v>
      </c>
      <c r="W85" s="8" t="s">
        <v>140</v>
      </c>
      <c r="X85" s="6"/>
      <c r="Y85" s="6" t="s">
        <v>30</v>
      </c>
      <c r="Z85" s="6"/>
      <c r="AA85" s="6" t="s">
        <v>305</v>
      </c>
    </row>
    <row r="86" spans="1:27" s="4" customFormat="1" ht="51.95" customHeight="1">
      <c r="A86" s="5">
        <v>0</v>
      </c>
      <c r="B86" s="6" t="s">
        <v>610</v>
      </c>
      <c r="C86" s="13">
        <v>620</v>
      </c>
      <c r="D86" s="8" t="s">
        <v>611</v>
      </c>
      <c r="E86" s="8" t="s">
        <v>612</v>
      </c>
      <c r="F86" s="8" t="s">
        <v>613</v>
      </c>
      <c r="G86" s="6" t="s">
        <v>37</v>
      </c>
      <c r="H86" s="6" t="s">
        <v>67</v>
      </c>
      <c r="I86" s="8" t="s">
        <v>39</v>
      </c>
      <c r="J86" s="9">
        <v>1</v>
      </c>
      <c r="K86" s="9">
        <v>219</v>
      </c>
      <c r="L86" s="9">
        <v>2018</v>
      </c>
      <c r="M86" s="8" t="s">
        <v>614</v>
      </c>
      <c r="N86" s="8" t="s">
        <v>121</v>
      </c>
      <c r="O86" s="8" t="s">
        <v>615</v>
      </c>
      <c r="P86" s="6" t="s">
        <v>70</v>
      </c>
      <c r="Q86" s="8" t="s">
        <v>44</v>
      </c>
      <c r="R86" s="10" t="s">
        <v>616</v>
      </c>
      <c r="S86" s="11" t="s">
        <v>617</v>
      </c>
      <c r="T86" s="6"/>
      <c r="U86" s="28" t="str">
        <f>HYPERLINK("https://media.infra-m.ru/0966/0966306/cover/966306.jpg", "Обложка")</f>
        <v>Обложка</v>
      </c>
      <c r="V86" s="28" t="str">
        <f>HYPERLINK("https://znanium.ru/catalog/product/1855828", "Ознакомиться")</f>
        <v>Ознакомиться</v>
      </c>
      <c r="W86" s="8" t="s">
        <v>125</v>
      </c>
      <c r="X86" s="6"/>
      <c r="Y86" s="6"/>
      <c r="Z86" s="6"/>
      <c r="AA86" s="6" t="s">
        <v>157</v>
      </c>
    </row>
    <row r="87" spans="1:27" s="4" customFormat="1" ht="51.95" customHeight="1">
      <c r="A87" s="5">
        <v>0</v>
      </c>
      <c r="B87" s="6" t="s">
        <v>618</v>
      </c>
      <c r="C87" s="7">
        <v>2050</v>
      </c>
      <c r="D87" s="8" t="s">
        <v>619</v>
      </c>
      <c r="E87" s="8" t="s">
        <v>620</v>
      </c>
      <c r="F87" s="8" t="s">
        <v>621</v>
      </c>
      <c r="G87" s="6" t="s">
        <v>66</v>
      </c>
      <c r="H87" s="6" t="s">
        <v>67</v>
      </c>
      <c r="I87" s="8" t="s">
        <v>68</v>
      </c>
      <c r="J87" s="9">
        <v>1</v>
      </c>
      <c r="K87" s="9">
        <v>457</v>
      </c>
      <c r="L87" s="9">
        <v>2023</v>
      </c>
      <c r="M87" s="8" t="s">
        <v>622</v>
      </c>
      <c r="N87" s="8" t="s">
        <v>41</v>
      </c>
      <c r="O87" s="8" t="s">
        <v>42</v>
      </c>
      <c r="P87" s="6" t="s">
        <v>70</v>
      </c>
      <c r="Q87" s="8" t="s">
        <v>71</v>
      </c>
      <c r="R87" s="10" t="s">
        <v>623</v>
      </c>
      <c r="S87" s="11" t="s">
        <v>624</v>
      </c>
      <c r="T87" s="6"/>
      <c r="U87" s="28" t="str">
        <f>HYPERLINK("https://media.infra-m.ru/2007/2007879/cover/2007879.jpg", "Обложка")</f>
        <v>Обложка</v>
      </c>
      <c r="V87" s="28" t="str">
        <f>HYPERLINK("https://znanium.ru/catalog/product/2007879", "Ознакомиться")</f>
        <v>Ознакомиться</v>
      </c>
      <c r="W87" s="8" t="s">
        <v>625</v>
      </c>
      <c r="X87" s="6"/>
      <c r="Y87" s="6"/>
      <c r="Z87" s="6"/>
      <c r="AA87" s="6" t="s">
        <v>531</v>
      </c>
    </row>
    <row r="88" spans="1:27" s="4" customFormat="1" ht="51.95" customHeight="1">
      <c r="A88" s="5">
        <v>0</v>
      </c>
      <c r="B88" s="6" t="s">
        <v>626</v>
      </c>
      <c r="C88" s="13">
        <v>750</v>
      </c>
      <c r="D88" s="8" t="s">
        <v>627</v>
      </c>
      <c r="E88" s="8" t="s">
        <v>628</v>
      </c>
      <c r="F88" s="8" t="s">
        <v>629</v>
      </c>
      <c r="G88" s="6" t="s">
        <v>53</v>
      </c>
      <c r="H88" s="6" t="s">
        <v>67</v>
      </c>
      <c r="I88" s="8" t="s">
        <v>95</v>
      </c>
      <c r="J88" s="9">
        <v>1</v>
      </c>
      <c r="K88" s="9">
        <v>162</v>
      </c>
      <c r="L88" s="9">
        <v>2024</v>
      </c>
      <c r="M88" s="8" t="s">
        <v>630</v>
      </c>
      <c r="N88" s="8" t="s">
        <v>41</v>
      </c>
      <c r="O88" s="8" t="s">
        <v>42</v>
      </c>
      <c r="P88" s="6" t="s">
        <v>43</v>
      </c>
      <c r="Q88" s="8" t="s">
        <v>97</v>
      </c>
      <c r="R88" s="10" t="s">
        <v>258</v>
      </c>
      <c r="S88" s="11" t="s">
        <v>631</v>
      </c>
      <c r="T88" s="6"/>
      <c r="U88" s="28" t="str">
        <f>HYPERLINK("https://media.infra-m.ru/2135/2135821/cover/2135821.jpg", "Обложка")</f>
        <v>Обложка</v>
      </c>
      <c r="V88" s="28" t="str">
        <f>HYPERLINK("https://znanium.ru/catalog/product/2135821", "Ознакомиться")</f>
        <v>Ознакомиться</v>
      </c>
      <c r="W88" s="8" t="s">
        <v>625</v>
      </c>
      <c r="X88" s="6"/>
      <c r="Y88" s="6"/>
      <c r="Z88" s="6"/>
      <c r="AA88" s="6" t="s">
        <v>157</v>
      </c>
    </row>
    <row r="89" spans="1:27" s="4" customFormat="1" ht="51.95" customHeight="1">
      <c r="A89" s="5">
        <v>0</v>
      </c>
      <c r="B89" s="6" t="s">
        <v>632</v>
      </c>
      <c r="C89" s="7">
        <v>1214.9000000000001</v>
      </c>
      <c r="D89" s="8" t="s">
        <v>633</v>
      </c>
      <c r="E89" s="8" t="s">
        <v>634</v>
      </c>
      <c r="F89" s="8" t="s">
        <v>635</v>
      </c>
      <c r="G89" s="6" t="s">
        <v>53</v>
      </c>
      <c r="H89" s="6" t="s">
        <v>173</v>
      </c>
      <c r="I89" s="8" t="s">
        <v>39</v>
      </c>
      <c r="J89" s="9">
        <v>1</v>
      </c>
      <c r="K89" s="9">
        <v>320</v>
      </c>
      <c r="L89" s="9">
        <v>2022</v>
      </c>
      <c r="M89" s="8" t="s">
        <v>636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258</v>
      </c>
      <c r="S89" s="11" t="s">
        <v>637</v>
      </c>
      <c r="T89" s="6"/>
      <c r="U89" s="28" t="str">
        <f>HYPERLINK("https://media.infra-m.ru/1851/1851547/cover/1851547.jpg", "Обложка")</f>
        <v>Обложка</v>
      </c>
      <c r="V89" s="12"/>
      <c r="W89" s="8" t="s">
        <v>638</v>
      </c>
      <c r="X89" s="6"/>
      <c r="Y89" s="6"/>
      <c r="Z89" s="6"/>
      <c r="AA89" s="6" t="s">
        <v>227</v>
      </c>
    </row>
    <row r="90" spans="1:27" s="4" customFormat="1" ht="51.95" customHeight="1">
      <c r="A90" s="5">
        <v>0</v>
      </c>
      <c r="B90" s="6" t="s">
        <v>639</v>
      </c>
      <c r="C90" s="13">
        <v>584</v>
      </c>
      <c r="D90" s="8" t="s">
        <v>640</v>
      </c>
      <c r="E90" s="8" t="s">
        <v>641</v>
      </c>
      <c r="F90" s="8" t="s">
        <v>642</v>
      </c>
      <c r="G90" s="6" t="s">
        <v>53</v>
      </c>
      <c r="H90" s="6" t="s">
        <v>67</v>
      </c>
      <c r="I90" s="8" t="s">
        <v>39</v>
      </c>
      <c r="J90" s="9">
        <v>1</v>
      </c>
      <c r="K90" s="9">
        <v>124</v>
      </c>
      <c r="L90" s="9">
        <v>2024</v>
      </c>
      <c r="M90" s="8" t="s">
        <v>643</v>
      </c>
      <c r="N90" s="8" t="s">
        <v>41</v>
      </c>
      <c r="O90" s="8" t="s">
        <v>42</v>
      </c>
      <c r="P90" s="6" t="s">
        <v>43</v>
      </c>
      <c r="Q90" s="8" t="s">
        <v>44</v>
      </c>
      <c r="R90" s="10" t="s">
        <v>330</v>
      </c>
      <c r="S90" s="11" t="s">
        <v>644</v>
      </c>
      <c r="T90" s="6"/>
      <c r="U90" s="28" t="str">
        <f>HYPERLINK("https://media.infra-m.ru/2108/2108573/cover/2108573.jpg", "Обложка")</f>
        <v>Обложка</v>
      </c>
      <c r="V90" s="28" t="str">
        <f>HYPERLINK("https://znanium.ru/catalog/product/2066381", "Ознакомиться")</f>
        <v>Ознакомиться</v>
      </c>
      <c r="W90" s="8" t="s">
        <v>638</v>
      </c>
      <c r="X90" s="6"/>
      <c r="Y90" s="6"/>
      <c r="Z90" s="6"/>
      <c r="AA90" s="6" t="s">
        <v>126</v>
      </c>
    </row>
    <row r="91" spans="1:27" s="4" customFormat="1" ht="51.95" customHeight="1">
      <c r="A91" s="5">
        <v>0</v>
      </c>
      <c r="B91" s="6" t="s">
        <v>645</v>
      </c>
      <c r="C91" s="7">
        <v>1550</v>
      </c>
      <c r="D91" s="8" t="s">
        <v>646</v>
      </c>
      <c r="E91" s="8" t="s">
        <v>647</v>
      </c>
      <c r="F91" s="8" t="s">
        <v>648</v>
      </c>
      <c r="G91" s="6" t="s">
        <v>66</v>
      </c>
      <c r="H91" s="6" t="s">
        <v>67</v>
      </c>
      <c r="I91" s="8" t="s">
        <v>54</v>
      </c>
      <c r="J91" s="9">
        <v>1</v>
      </c>
      <c r="K91" s="9">
        <v>336</v>
      </c>
      <c r="L91" s="9">
        <v>2024</v>
      </c>
      <c r="M91" s="8" t="s">
        <v>649</v>
      </c>
      <c r="N91" s="8" t="s">
        <v>41</v>
      </c>
      <c r="O91" s="8" t="s">
        <v>42</v>
      </c>
      <c r="P91" s="6" t="s">
        <v>43</v>
      </c>
      <c r="Q91" s="8" t="s">
        <v>56</v>
      </c>
      <c r="R91" s="10" t="s">
        <v>650</v>
      </c>
      <c r="S91" s="11" t="s">
        <v>651</v>
      </c>
      <c r="T91" s="6"/>
      <c r="U91" s="28" t="str">
        <f>HYPERLINK("https://media.infra-m.ru/2013/2013693/cover/2013693.jpg", "Обложка")</f>
        <v>Обложка</v>
      </c>
      <c r="V91" s="28" t="str">
        <f>HYPERLINK("https://znanium.ru/catalog/product/2013693", "Ознакомиться")</f>
        <v>Ознакомиться</v>
      </c>
      <c r="W91" s="8" t="s">
        <v>652</v>
      </c>
      <c r="X91" s="6"/>
      <c r="Y91" s="6"/>
      <c r="Z91" s="6"/>
      <c r="AA91" s="6" t="s">
        <v>572</v>
      </c>
    </row>
    <row r="92" spans="1:27" s="4" customFormat="1" ht="51.95" customHeight="1">
      <c r="A92" s="5">
        <v>0</v>
      </c>
      <c r="B92" s="6" t="s">
        <v>653</v>
      </c>
      <c r="C92" s="13">
        <v>990</v>
      </c>
      <c r="D92" s="8" t="s">
        <v>654</v>
      </c>
      <c r="E92" s="8" t="s">
        <v>655</v>
      </c>
      <c r="F92" s="8" t="s">
        <v>656</v>
      </c>
      <c r="G92" s="6" t="s">
        <v>66</v>
      </c>
      <c r="H92" s="6" t="s">
        <v>67</v>
      </c>
      <c r="I92" s="8" t="s">
        <v>54</v>
      </c>
      <c r="J92" s="9">
        <v>1</v>
      </c>
      <c r="K92" s="9">
        <v>216</v>
      </c>
      <c r="L92" s="9">
        <v>2023</v>
      </c>
      <c r="M92" s="8" t="s">
        <v>657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658</v>
      </c>
      <c r="S92" s="11" t="s">
        <v>659</v>
      </c>
      <c r="T92" s="6"/>
      <c r="U92" s="28" t="str">
        <f>HYPERLINK("https://media.infra-m.ru/2098/2098531/cover/2098531.jpg", "Обложка")</f>
        <v>Обложка</v>
      </c>
      <c r="V92" s="28" t="str">
        <f>HYPERLINK("https://znanium.ru/catalog/product/2098531", "Ознакомиться")</f>
        <v>Ознакомиться</v>
      </c>
      <c r="W92" s="8" t="s">
        <v>660</v>
      </c>
      <c r="X92" s="6"/>
      <c r="Y92" s="6"/>
      <c r="Z92" s="6"/>
      <c r="AA92" s="6" t="s">
        <v>572</v>
      </c>
    </row>
    <row r="93" spans="1:27" s="4" customFormat="1" ht="51.95" customHeight="1">
      <c r="A93" s="5">
        <v>0</v>
      </c>
      <c r="B93" s="6" t="s">
        <v>661</v>
      </c>
      <c r="C93" s="7">
        <v>1704.9</v>
      </c>
      <c r="D93" s="8" t="s">
        <v>662</v>
      </c>
      <c r="E93" s="8" t="s">
        <v>663</v>
      </c>
      <c r="F93" s="8" t="s">
        <v>664</v>
      </c>
      <c r="G93" s="6" t="s">
        <v>66</v>
      </c>
      <c r="H93" s="6" t="s">
        <v>67</v>
      </c>
      <c r="I93" s="8" t="s">
        <v>106</v>
      </c>
      <c r="J93" s="9">
        <v>1</v>
      </c>
      <c r="K93" s="9">
        <v>436</v>
      </c>
      <c r="L93" s="9">
        <v>2022</v>
      </c>
      <c r="M93" s="8" t="s">
        <v>665</v>
      </c>
      <c r="N93" s="8" t="s">
        <v>41</v>
      </c>
      <c r="O93" s="8" t="s">
        <v>42</v>
      </c>
      <c r="P93" s="6" t="s">
        <v>110</v>
      </c>
      <c r="Q93" s="8" t="s">
        <v>111</v>
      </c>
      <c r="R93" s="10" t="s">
        <v>666</v>
      </c>
      <c r="S93" s="11" t="s">
        <v>667</v>
      </c>
      <c r="T93" s="6"/>
      <c r="U93" s="28" t="str">
        <f>HYPERLINK("https://media.infra-m.ru/1853/1853672/cover/1853672.jpg", "Обложка")</f>
        <v>Обложка</v>
      </c>
      <c r="V93" s="28" t="str">
        <f>HYPERLINK("https://znanium.ru/catalog/product/1979935", "Ознакомиться")</f>
        <v>Ознакомиться</v>
      </c>
      <c r="W93" s="8" t="s">
        <v>668</v>
      </c>
      <c r="X93" s="6"/>
      <c r="Y93" s="6"/>
      <c r="Z93" s="6"/>
      <c r="AA93" s="6" t="s">
        <v>126</v>
      </c>
    </row>
    <row r="94" spans="1:27" s="4" customFormat="1" ht="51.95" customHeight="1">
      <c r="A94" s="5">
        <v>0</v>
      </c>
      <c r="B94" s="6" t="s">
        <v>669</v>
      </c>
      <c r="C94" s="7">
        <v>1990</v>
      </c>
      <c r="D94" s="8" t="s">
        <v>670</v>
      </c>
      <c r="E94" s="8" t="s">
        <v>671</v>
      </c>
      <c r="F94" s="8" t="s">
        <v>672</v>
      </c>
      <c r="G94" s="6" t="s">
        <v>37</v>
      </c>
      <c r="H94" s="6" t="s">
        <v>67</v>
      </c>
      <c r="I94" s="8" t="s">
        <v>106</v>
      </c>
      <c r="J94" s="9">
        <v>1</v>
      </c>
      <c r="K94" s="9">
        <v>439</v>
      </c>
      <c r="L94" s="9">
        <v>2023</v>
      </c>
      <c r="M94" s="8" t="s">
        <v>673</v>
      </c>
      <c r="N94" s="8" t="s">
        <v>41</v>
      </c>
      <c r="O94" s="8" t="s">
        <v>42</v>
      </c>
      <c r="P94" s="6" t="s">
        <v>110</v>
      </c>
      <c r="Q94" s="8" t="s">
        <v>111</v>
      </c>
      <c r="R94" s="10" t="s">
        <v>666</v>
      </c>
      <c r="S94" s="11" t="s">
        <v>667</v>
      </c>
      <c r="T94" s="6"/>
      <c r="U94" s="28" t="str">
        <f>HYPERLINK("https://media.infra-m.ru/1979/1979935/cover/1979935.jpg", "Обложка")</f>
        <v>Обложка</v>
      </c>
      <c r="V94" s="28" t="str">
        <f>HYPERLINK("https://znanium.ru/catalog/product/1979935", "Ознакомиться")</f>
        <v>Ознакомиться</v>
      </c>
      <c r="W94" s="8" t="s">
        <v>74</v>
      </c>
      <c r="X94" s="6"/>
      <c r="Y94" s="6"/>
      <c r="Z94" s="6"/>
      <c r="AA94" s="6" t="s">
        <v>674</v>
      </c>
    </row>
    <row r="95" spans="1:27" s="4" customFormat="1" ht="51.95" customHeight="1">
      <c r="A95" s="5">
        <v>0</v>
      </c>
      <c r="B95" s="6" t="s">
        <v>675</v>
      </c>
      <c r="C95" s="7">
        <v>1240</v>
      </c>
      <c r="D95" s="8" t="s">
        <v>676</v>
      </c>
      <c r="E95" s="8" t="s">
        <v>677</v>
      </c>
      <c r="F95" s="8" t="s">
        <v>231</v>
      </c>
      <c r="G95" s="6" t="s">
        <v>37</v>
      </c>
      <c r="H95" s="6" t="s">
        <v>67</v>
      </c>
      <c r="I95" s="8" t="s">
        <v>106</v>
      </c>
      <c r="J95" s="9">
        <v>1</v>
      </c>
      <c r="K95" s="9">
        <v>241</v>
      </c>
      <c r="L95" s="9">
        <v>2024</v>
      </c>
      <c r="M95" s="8" t="s">
        <v>678</v>
      </c>
      <c r="N95" s="8" t="s">
        <v>41</v>
      </c>
      <c r="O95" s="8" t="s">
        <v>42</v>
      </c>
      <c r="P95" s="6" t="s">
        <v>110</v>
      </c>
      <c r="Q95" s="8" t="s">
        <v>111</v>
      </c>
      <c r="R95" s="10" t="s">
        <v>233</v>
      </c>
      <c r="S95" s="11"/>
      <c r="T95" s="6"/>
      <c r="U95" s="28" t="str">
        <f>HYPERLINK("https://media.infra-m.ru/2124/2124804/cover/2124804.jpg", "Обложка")</f>
        <v>Обложка</v>
      </c>
      <c r="V95" s="28" t="str">
        <f>HYPERLINK("https://znanium.ru/catalog/product/2124804", "Ознакомиться")</f>
        <v>Ознакомиться</v>
      </c>
      <c r="W95" s="8" t="s">
        <v>235</v>
      </c>
      <c r="X95" s="6" t="s">
        <v>679</v>
      </c>
      <c r="Y95" s="6"/>
      <c r="Z95" s="6"/>
      <c r="AA95" s="6" t="s">
        <v>485</v>
      </c>
    </row>
    <row r="96" spans="1:27" s="4" customFormat="1" ht="51.95" customHeight="1">
      <c r="A96" s="5">
        <v>0</v>
      </c>
      <c r="B96" s="6" t="s">
        <v>680</v>
      </c>
      <c r="C96" s="13">
        <v>854</v>
      </c>
      <c r="D96" s="8" t="s">
        <v>681</v>
      </c>
      <c r="E96" s="8" t="s">
        <v>682</v>
      </c>
      <c r="F96" s="8" t="s">
        <v>683</v>
      </c>
      <c r="G96" s="6" t="s">
        <v>37</v>
      </c>
      <c r="H96" s="6" t="s">
        <v>67</v>
      </c>
      <c r="I96" s="8" t="s">
        <v>39</v>
      </c>
      <c r="J96" s="9">
        <v>1</v>
      </c>
      <c r="K96" s="9">
        <v>188</v>
      </c>
      <c r="L96" s="9">
        <v>2023</v>
      </c>
      <c r="M96" s="8" t="s">
        <v>684</v>
      </c>
      <c r="N96" s="8" t="s">
        <v>108</v>
      </c>
      <c r="O96" s="8" t="s">
        <v>109</v>
      </c>
      <c r="P96" s="6" t="s">
        <v>43</v>
      </c>
      <c r="Q96" s="8" t="s">
        <v>44</v>
      </c>
      <c r="R96" s="10" t="s">
        <v>242</v>
      </c>
      <c r="S96" s="11" t="s">
        <v>685</v>
      </c>
      <c r="T96" s="6"/>
      <c r="U96" s="28" t="str">
        <f>HYPERLINK("https://media.infra-m.ru/2021/2021463/cover/2021463.jpg", "Обложка")</f>
        <v>Обложка</v>
      </c>
      <c r="V96" s="28" t="str">
        <f>HYPERLINK("https://znanium.ru/catalog/product/997136", "Ознакомиться")</f>
        <v>Ознакомиться</v>
      </c>
      <c r="W96" s="8"/>
      <c r="X96" s="6"/>
      <c r="Y96" s="6"/>
      <c r="Z96" s="6"/>
      <c r="AA96" s="6" t="s">
        <v>236</v>
      </c>
    </row>
    <row r="97" spans="1:27" s="4" customFormat="1" ht="42" customHeight="1">
      <c r="A97" s="5">
        <v>0</v>
      </c>
      <c r="B97" s="6" t="s">
        <v>686</v>
      </c>
      <c r="C97" s="13">
        <v>514.9</v>
      </c>
      <c r="D97" s="8" t="s">
        <v>687</v>
      </c>
      <c r="E97" s="8" t="s">
        <v>688</v>
      </c>
      <c r="F97" s="8" t="s">
        <v>689</v>
      </c>
      <c r="G97" s="6" t="s">
        <v>53</v>
      </c>
      <c r="H97" s="6" t="s">
        <v>173</v>
      </c>
      <c r="I97" s="8" t="s">
        <v>54</v>
      </c>
      <c r="J97" s="9">
        <v>1</v>
      </c>
      <c r="K97" s="9">
        <v>192</v>
      </c>
      <c r="L97" s="9">
        <v>2018</v>
      </c>
      <c r="M97" s="8" t="s">
        <v>690</v>
      </c>
      <c r="N97" s="8" t="s">
        <v>41</v>
      </c>
      <c r="O97" s="8" t="s">
        <v>42</v>
      </c>
      <c r="P97" s="6" t="s">
        <v>43</v>
      </c>
      <c r="Q97" s="8" t="s">
        <v>44</v>
      </c>
      <c r="R97" s="10" t="s">
        <v>258</v>
      </c>
      <c r="S97" s="11"/>
      <c r="T97" s="6"/>
      <c r="U97" s="28" t="str">
        <f>HYPERLINK("https://media.infra-m.ru/0925/0925867/cover/925867.jpg", "Обложка")</f>
        <v>Обложка</v>
      </c>
      <c r="V97" s="28" t="str">
        <f>HYPERLINK("https://znanium.ru/catalog/product/925867", "Ознакомиться")</f>
        <v>Ознакомиться</v>
      </c>
      <c r="W97" s="8" t="s">
        <v>691</v>
      </c>
      <c r="X97" s="6"/>
      <c r="Y97" s="6"/>
      <c r="Z97" s="6"/>
      <c r="AA97" s="6" t="s">
        <v>157</v>
      </c>
    </row>
    <row r="98" spans="1:27" s="4" customFormat="1" ht="42" customHeight="1">
      <c r="A98" s="5">
        <v>0</v>
      </c>
      <c r="B98" s="6" t="s">
        <v>692</v>
      </c>
      <c r="C98" s="7">
        <v>1320</v>
      </c>
      <c r="D98" s="8" t="s">
        <v>693</v>
      </c>
      <c r="E98" s="8" t="s">
        <v>694</v>
      </c>
      <c r="F98" s="8" t="s">
        <v>695</v>
      </c>
      <c r="G98" s="6" t="s">
        <v>53</v>
      </c>
      <c r="H98" s="6" t="s">
        <v>67</v>
      </c>
      <c r="I98" s="8" t="s">
        <v>106</v>
      </c>
      <c r="J98" s="9">
        <v>1</v>
      </c>
      <c r="K98" s="9">
        <v>286</v>
      </c>
      <c r="L98" s="9">
        <v>2024</v>
      </c>
      <c r="M98" s="8" t="s">
        <v>696</v>
      </c>
      <c r="N98" s="8" t="s">
        <v>41</v>
      </c>
      <c r="O98" s="8" t="s">
        <v>42</v>
      </c>
      <c r="P98" s="6" t="s">
        <v>110</v>
      </c>
      <c r="Q98" s="8" t="s">
        <v>111</v>
      </c>
      <c r="R98" s="10" t="s">
        <v>258</v>
      </c>
      <c r="S98" s="11"/>
      <c r="T98" s="6"/>
      <c r="U98" s="28" t="str">
        <f>HYPERLINK("https://media.infra-m.ru/2111/2111800/cover/2111800.jpg", "Обложка")</f>
        <v>Обложка</v>
      </c>
      <c r="V98" s="28" t="str">
        <f>HYPERLINK("https://znanium.ru/catalog/product/2111800", "Ознакомиться")</f>
        <v>Ознакомиться</v>
      </c>
      <c r="W98" s="8" t="s">
        <v>369</v>
      </c>
      <c r="X98" s="6"/>
      <c r="Y98" s="6"/>
      <c r="Z98" s="6"/>
      <c r="AA98" s="6" t="s">
        <v>126</v>
      </c>
    </row>
    <row r="99" spans="1:27" s="4" customFormat="1" ht="44.1" customHeight="1">
      <c r="A99" s="5">
        <v>0</v>
      </c>
      <c r="B99" s="6" t="s">
        <v>697</v>
      </c>
      <c r="C99" s="7">
        <v>1230</v>
      </c>
      <c r="D99" s="8" t="s">
        <v>698</v>
      </c>
      <c r="E99" s="8" t="s">
        <v>699</v>
      </c>
      <c r="F99" s="8" t="s">
        <v>700</v>
      </c>
      <c r="G99" s="6" t="s">
        <v>53</v>
      </c>
      <c r="H99" s="6" t="s">
        <v>38</v>
      </c>
      <c r="I99" s="8" t="s">
        <v>106</v>
      </c>
      <c r="J99" s="9">
        <v>1</v>
      </c>
      <c r="K99" s="9">
        <v>268</v>
      </c>
      <c r="L99" s="9">
        <v>2023</v>
      </c>
      <c r="M99" s="8" t="s">
        <v>701</v>
      </c>
      <c r="N99" s="8" t="s">
        <v>41</v>
      </c>
      <c r="O99" s="8" t="s">
        <v>42</v>
      </c>
      <c r="P99" s="6" t="s">
        <v>110</v>
      </c>
      <c r="Q99" s="8" t="s">
        <v>702</v>
      </c>
      <c r="R99" s="10" t="s">
        <v>703</v>
      </c>
      <c r="S99" s="11"/>
      <c r="T99" s="6"/>
      <c r="U99" s="28" t="str">
        <f>HYPERLINK("https://media.infra-m.ru/2011/2011477/cover/2011477.jpg", "Обложка")</f>
        <v>Обложка</v>
      </c>
      <c r="V99" s="28" t="str">
        <f>HYPERLINK("https://znanium.ru/catalog/product/2011477", "Ознакомиться")</f>
        <v>Ознакомиться</v>
      </c>
      <c r="W99" s="8" t="s">
        <v>347</v>
      </c>
      <c r="X99" s="6"/>
      <c r="Y99" s="6"/>
      <c r="Z99" s="6"/>
      <c r="AA99" s="6" t="s">
        <v>177</v>
      </c>
    </row>
    <row r="100" spans="1:27" s="4" customFormat="1" ht="51.95" customHeight="1">
      <c r="A100" s="5">
        <v>0</v>
      </c>
      <c r="B100" s="6" t="s">
        <v>704</v>
      </c>
      <c r="C100" s="7">
        <v>1450</v>
      </c>
      <c r="D100" s="8" t="s">
        <v>705</v>
      </c>
      <c r="E100" s="8" t="s">
        <v>706</v>
      </c>
      <c r="F100" s="8" t="s">
        <v>707</v>
      </c>
      <c r="G100" s="6" t="s">
        <v>66</v>
      </c>
      <c r="H100" s="6" t="s">
        <v>67</v>
      </c>
      <c r="I100" s="8" t="s">
        <v>68</v>
      </c>
      <c r="J100" s="9">
        <v>1</v>
      </c>
      <c r="K100" s="9">
        <v>309</v>
      </c>
      <c r="L100" s="9">
        <v>2024</v>
      </c>
      <c r="M100" s="8" t="s">
        <v>708</v>
      </c>
      <c r="N100" s="8" t="s">
        <v>41</v>
      </c>
      <c r="O100" s="8" t="s">
        <v>42</v>
      </c>
      <c r="P100" s="6" t="s">
        <v>43</v>
      </c>
      <c r="Q100" s="8" t="s">
        <v>71</v>
      </c>
      <c r="R100" s="10" t="s">
        <v>81</v>
      </c>
      <c r="S100" s="11" t="s">
        <v>709</v>
      </c>
      <c r="T100" s="6"/>
      <c r="U100" s="28" t="str">
        <f>HYPERLINK("https://media.infra-m.ru/2138/2138506/cover/2138506.jpg", "Обложка")</f>
        <v>Обложка</v>
      </c>
      <c r="V100" s="28" t="str">
        <f>HYPERLINK("https://znanium.ru/catalog/product/2138506", "Ознакомиться")</f>
        <v>Ознакомиться</v>
      </c>
      <c r="W100" s="8" t="s">
        <v>625</v>
      </c>
      <c r="X100" s="6"/>
      <c r="Y100" s="6"/>
      <c r="Z100" s="6"/>
      <c r="AA100" s="6" t="s">
        <v>710</v>
      </c>
    </row>
    <row r="101" spans="1:27" s="4" customFormat="1" ht="51.95" customHeight="1">
      <c r="A101" s="5">
        <v>0</v>
      </c>
      <c r="B101" s="6" t="s">
        <v>711</v>
      </c>
      <c r="C101" s="7">
        <v>1040</v>
      </c>
      <c r="D101" s="8" t="s">
        <v>712</v>
      </c>
      <c r="E101" s="8" t="s">
        <v>713</v>
      </c>
      <c r="F101" s="8" t="s">
        <v>707</v>
      </c>
      <c r="G101" s="6" t="s">
        <v>66</v>
      </c>
      <c r="H101" s="6" t="s">
        <v>67</v>
      </c>
      <c r="I101" s="8" t="s">
        <v>68</v>
      </c>
      <c r="J101" s="9">
        <v>1</v>
      </c>
      <c r="K101" s="9">
        <v>224</v>
      </c>
      <c r="L101" s="9">
        <v>2024</v>
      </c>
      <c r="M101" s="8" t="s">
        <v>714</v>
      </c>
      <c r="N101" s="8" t="s">
        <v>41</v>
      </c>
      <c r="O101" s="8" t="s">
        <v>42</v>
      </c>
      <c r="P101" s="6" t="s">
        <v>43</v>
      </c>
      <c r="Q101" s="8" t="s">
        <v>71</v>
      </c>
      <c r="R101" s="10" t="s">
        <v>715</v>
      </c>
      <c r="S101" s="11" t="s">
        <v>716</v>
      </c>
      <c r="T101" s="6"/>
      <c r="U101" s="28" t="str">
        <f>HYPERLINK("https://media.infra-m.ru/2111/2111909/cover/2111909.jpg", "Обложка")</f>
        <v>Обложка</v>
      </c>
      <c r="V101" s="28" t="str">
        <f>HYPERLINK("https://znanium.ru/catalog/product/2111909", "Ознакомиться")</f>
        <v>Ознакомиться</v>
      </c>
      <c r="W101" s="8" t="s">
        <v>625</v>
      </c>
      <c r="X101" s="6"/>
      <c r="Y101" s="6" t="s">
        <v>30</v>
      </c>
      <c r="Z101" s="6"/>
      <c r="AA101" s="6" t="s">
        <v>710</v>
      </c>
    </row>
    <row r="102" spans="1:27" s="4" customFormat="1" ht="42" customHeight="1">
      <c r="A102" s="5">
        <v>0</v>
      </c>
      <c r="B102" s="6" t="s">
        <v>717</v>
      </c>
      <c r="C102" s="13">
        <v>924</v>
      </c>
      <c r="D102" s="8" t="s">
        <v>718</v>
      </c>
      <c r="E102" s="8" t="s">
        <v>719</v>
      </c>
      <c r="F102" s="8" t="s">
        <v>497</v>
      </c>
      <c r="G102" s="6" t="s">
        <v>37</v>
      </c>
      <c r="H102" s="6" t="s">
        <v>67</v>
      </c>
      <c r="I102" s="8" t="s">
        <v>39</v>
      </c>
      <c r="J102" s="9">
        <v>1</v>
      </c>
      <c r="K102" s="9">
        <v>200</v>
      </c>
      <c r="L102" s="9">
        <v>2024</v>
      </c>
      <c r="M102" s="8" t="s">
        <v>720</v>
      </c>
      <c r="N102" s="8" t="s">
        <v>41</v>
      </c>
      <c r="O102" s="8" t="s">
        <v>42</v>
      </c>
      <c r="P102" s="6" t="s">
        <v>43</v>
      </c>
      <c r="Q102" s="8" t="s">
        <v>44</v>
      </c>
      <c r="R102" s="10" t="s">
        <v>258</v>
      </c>
      <c r="S102" s="11"/>
      <c r="T102" s="6"/>
      <c r="U102" s="28" t="str">
        <f>HYPERLINK("https://media.infra-m.ru/2104/2104851/cover/2104851.jpg", "Обложка")</f>
        <v>Обложка</v>
      </c>
      <c r="V102" s="28" t="str">
        <f>HYPERLINK("https://znanium.ru/catalog/product/483102", "Ознакомиться")</f>
        <v>Ознакомиться</v>
      </c>
      <c r="W102" s="8" t="s">
        <v>499</v>
      </c>
      <c r="X102" s="6"/>
      <c r="Y102" s="6"/>
      <c r="Z102" s="6"/>
      <c r="AA102" s="6" t="s">
        <v>177</v>
      </c>
    </row>
    <row r="103" spans="1:27" s="4" customFormat="1" ht="51.95" customHeight="1">
      <c r="A103" s="5">
        <v>0</v>
      </c>
      <c r="B103" s="6" t="s">
        <v>721</v>
      </c>
      <c r="C103" s="7">
        <v>1194</v>
      </c>
      <c r="D103" s="8" t="s">
        <v>722</v>
      </c>
      <c r="E103" s="8" t="s">
        <v>723</v>
      </c>
      <c r="F103" s="8" t="s">
        <v>724</v>
      </c>
      <c r="G103" s="6" t="s">
        <v>66</v>
      </c>
      <c r="H103" s="6" t="s">
        <v>67</v>
      </c>
      <c r="I103" s="8" t="s">
        <v>68</v>
      </c>
      <c r="J103" s="9">
        <v>1</v>
      </c>
      <c r="K103" s="9">
        <v>254</v>
      </c>
      <c r="L103" s="9">
        <v>2024</v>
      </c>
      <c r="M103" s="8" t="s">
        <v>725</v>
      </c>
      <c r="N103" s="8" t="s">
        <v>41</v>
      </c>
      <c r="O103" s="8" t="s">
        <v>42</v>
      </c>
      <c r="P103" s="6" t="s">
        <v>70</v>
      </c>
      <c r="Q103" s="8" t="s">
        <v>71</v>
      </c>
      <c r="R103" s="10" t="s">
        <v>726</v>
      </c>
      <c r="S103" s="11" t="s">
        <v>727</v>
      </c>
      <c r="T103" s="6"/>
      <c r="U103" s="28" t="str">
        <f>HYPERLINK("https://media.infra-m.ru/2146/2146082/cover/2146082.jpg", "Обложка")</f>
        <v>Обложка</v>
      </c>
      <c r="V103" s="28" t="str">
        <f>HYPERLINK("https://znanium.ru/catalog/product/1709591", "Ознакомиться")</f>
        <v>Ознакомиться</v>
      </c>
      <c r="W103" s="8"/>
      <c r="X103" s="6"/>
      <c r="Y103" s="6"/>
      <c r="Z103" s="6"/>
      <c r="AA103" s="6" t="s">
        <v>531</v>
      </c>
    </row>
    <row r="104" spans="1:27" s="4" customFormat="1" ht="51.95" customHeight="1">
      <c r="A104" s="5">
        <v>0</v>
      </c>
      <c r="B104" s="6" t="s">
        <v>728</v>
      </c>
      <c r="C104" s="7">
        <v>1690</v>
      </c>
      <c r="D104" s="8" t="s">
        <v>729</v>
      </c>
      <c r="E104" s="8" t="s">
        <v>730</v>
      </c>
      <c r="F104" s="8" t="s">
        <v>731</v>
      </c>
      <c r="G104" s="6" t="s">
        <v>53</v>
      </c>
      <c r="H104" s="6" t="s">
        <v>283</v>
      </c>
      <c r="I104" s="8"/>
      <c r="J104" s="9">
        <v>1</v>
      </c>
      <c r="K104" s="9">
        <v>170</v>
      </c>
      <c r="L104" s="9">
        <v>2023</v>
      </c>
      <c r="M104" s="8" t="s">
        <v>732</v>
      </c>
      <c r="N104" s="8" t="s">
        <v>108</v>
      </c>
      <c r="O104" s="8" t="s">
        <v>109</v>
      </c>
      <c r="P104" s="6" t="s">
        <v>43</v>
      </c>
      <c r="Q104" s="8" t="s">
        <v>44</v>
      </c>
      <c r="R104" s="10" t="s">
        <v>733</v>
      </c>
      <c r="S104" s="11"/>
      <c r="T104" s="6"/>
      <c r="U104" s="28" t="str">
        <f>HYPERLINK("https://media.infra-m.ru/1911/1911831/cover/1911831.jpg", "Обложка")</f>
        <v>Обложка</v>
      </c>
      <c r="V104" s="28" t="str">
        <f>HYPERLINK("https://znanium.ru/catalog/product/982325", "Ознакомиться")</f>
        <v>Ознакомиться</v>
      </c>
      <c r="W104" s="8" t="s">
        <v>288</v>
      </c>
      <c r="X104" s="6"/>
      <c r="Y104" s="6"/>
      <c r="Z104" s="6"/>
      <c r="AA104" s="6" t="s">
        <v>177</v>
      </c>
    </row>
    <row r="105" spans="1:27" s="4" customFormat="1" ht="42" customHeight="1">
      <c r="A105" s="5">
        <v>0</v>
      </c>
      <c r="B105" s="6" t="s">
        <v>734</v>
      </c>
      <c r="C105" s="13">
        <v>550</v>
      </c>
      <c r="D105" s="8" t="s">
        <v>735</v>
      </c>
      <c r="E105" s="8" t="s">
        <v>736</v>
      </c>
      <c r="F105" s="8" t="s">
        <v>737</v>
      </c>
      <c r="G105" s="6" t="s">
        <v>37</v>
      </c>
      <c r="H105" s="6" t="s">
        <v>67</v>
      </c>
      <c r="I105" s="8" t="s">
        <v>207</v>
      </c>
      <c r="J105" s="9">
        <v>1</v>
      </c>
      <c r="K105" s="9">
        <v>106</v>
      </c>
      <c r="L105" s="9">
        <v>2021</v>
      </c>
      <c r="M105" s="8" t="s">
        <v>738</v>
      </c>
      <c r="N105" s="8" t="s">
        <v>41</v>
      </c>
      <c r="O105" s="8" t="s">
        <v>42</v>
      </c>
      <c r="P105" s="6" t="s">
        <v>43</v>
      </c>
      <c r="Q105" s="8" t="s">
        <v>209</v>
      </c>
      <c r="R105" s="10" t="s">
        <v>739</v>
      </c>
      <c r="S105" s="11"/>
      <c r="T105" s="6"/>
      <c r="U105" s="28" t="str">
        <f>HYPERLINK("https://media.infra-m.ru/1201/1201340/cover/1201340.jpg", "Обложка")</f>
        <v>Обложка</v>
      </c>
      <c r="V105" s="28" t="str">
        <f>HYPERLINK("https://znanium.ru/catalog/product/1201340", "Ознакомиться")</f>
        <v>Ознакомиться</v>
      </c>
      <c r="W105" s="8" t="s">
        <v>638</v>
      </c>
      <c r="X105" s="6"/>
      <c r="Y105" s="6"/>
      <c r="Z105" s="6"/>
      <c r="AA105" s="6" t="s">
        <v>236</v>
      </c>
    </row>
    <row r="106" spans="1:27" s="4" customFormat="1" ht="51.95" customHeight="1">
      <c r="A106" s="5">
        <v>0</v>
      </c>
      <c r="B106" s="6" t="s">
        <v>740</v>
      </c>
      <c r="C106" s="7">
        <v>1060</v>
      </c>
      <c r="D106" s="8" t="s">
        <v>741</v>
      </c>
      <c r="E106" s="8" t="s">
        <v>742</v>
      </c>
      <c r="F106" s="8" t="s">
        <v>743</v>
      </c>
      <c r="G106" s="6" t="s">
        <v>53</v>
      </c>
      <c r="H106" s="6" t="s">
        <v>67</v>
      </c>
      <c r="I106" s="8" t="s">
        <v>106</v>
      </c>
      <c r="J106" s="9">
        <v>1</v>
      </c>
      <c r="K106" s="9">
        <v>234</v>
      </c>
      <c r="L106" s="9">
        <v>2023</v>
      </c>
      <c r="M106" s="8" t="s">
        <v>744</v>
      </c>
      <c r="N106" s="8" t="s">
        <v>41</v>
      </c>
      <c r="O106" s="8" t="s">
        <v>42</v>
      </c>
      <c r="P106" s="6" t="s">
        <v>110</v>
      </c>
      <c r="Q106" s="8" t="s">
        <v>111</v>
      </c>
      <c r="R106" s="10" t="s">
        <v>745</v>
      </c>
      <c r="S106" s="11"/>
      <c r="T106" s="6"/>
      <c r="U106" s="28" t="str">
        <f>HYPERLINK("https://media.infra-m.ru/2021/2021389/cover/2021389.jpg", "Обложка")</f>
        <v>Обложка</v>
      </c>
      <c r="V106" s="28" t="str">
        <f>HYPERLINK("https://znanium.ru/catalog/product/2021389", "Ознакомиться")</f>
        <v>Ознакомиться</v>
      </c>
      <c r="W106" s="8" t="s">
        <v>746</v>
      </c>
      <c r="X106" s="6"/>
      <c r="Y106" s="6"/>
      <c r="Z106" s="6"/>
      <c r="AA106" s="6" t="s">
        <v>157</v>
      </c>
    </row>
    <row r="107" spans="1:27" s="4" customFormat="1" ht="51.95" customHeight="1">
      <c r="A107" s="5">
        <v>0</v>
      </c>
      <c r="B107" s="6" t="s">
        <v>747</v>
      </c>
      <c r="C107" s="7">
        <v>1100</v>
      </c>
      <c r="D107" s="8" t="s">
        <v>748</v>
      </c>
      <c r="E107" s="8" t="s">
        <v>749</v>
      </c>
      <c r="F107" s="8" t="s">
        <v>231</v>
      </c>
      <c r="G107" s="6" t="s">
        <v>37</v>
      </c>
      <c r="H107" s="6" t="s">
        <v>67</v>
      </c>
      <c r="I107" s="8" t="s">
        <v>106</v>
      </c>
      <c r="J107" s="9">
        <v>1</v>
      </c>
      <c r="K107" s="9">
        <v>224</v>
      </c>
      <c r="L107" s="9">
        <v>2023</v>
      </c>
      <c r="M107" s="8" t="s">
        <v>750</v>
      </c>
      <c r="N107" s="8" t="s">
        <v>41</v>
      </c>
      <c r="O107" s="8" t="s">
        <v>42</v>
      </c>
      <c r="P107" s="6" t="s">
        <v>110</v>
      </c>
      <c r="Q107" s="8" t="s">
        <v>111</v>
      </c>
      <c r="R107" s="10" t="s">
        <v>751</v>
      </c>
      <c r="S107" s="11"/>
      <c r="T107" s="6"/>
      <c r="U107" s="28" t="str">
        <f>HYPERLINK("https://media.infra-m.ru/1981/1981692/cover/1981692.jpg", "Обложка")</f>
        <v>Обложка</v>
      </c>
      <c r="V107" s="28" t="str">
        <f>HYPERLINK("https://znanium.ru/catalog/product/1981692", "Ознакомиться")</f>
        <v>Ознакомиться</v>
      </c>
      <c r="W107" s="8" t="s">
        <v>235</v>
      </c>
      <c r="X107" s="6" t="s">
        <v>544</v>
      </c>
      <c r="Y107" s="6"/>
      <c r="Z107" s="6"/>
      <c r="AA107" s="6" t="s">
        <v>115</v>
      </c>
    </row>
    <row r="108" spans="1:27" s="4" customFormat="1" ht="51.95" customHeight="1">
      <c r="A108" s="5">
        <v>0</v>
      </c>
      <c r="B108" s="6" t="s">
        <v>752</v>
      </c>
      <c r="C108" s="7">
        <v>1624</v>
      </c>
      <c r="D108" s="8" t="s">
        <v>753</v>
      </c>
      <c r="E108" s="8" t="s">
        <v>754</v>
      </c>
      <c r="F108" s="8" t="s">
        <v>755</v>
      </c>
      <c r="G108" s="6" t="s">
        <v>66</v>
      </c>
      <c r="H108" s="6" t="s">
        <v>67</v>
      </c>
      <c r="I108" s="8" t="s">
        <v>68</v>
      </c>
      <c r="J108" s="9">
        <v>1</v>
      </c>
      <c r="K108" s="9">
        <v>336</v>
      </c>
      <c r="L108" s="9">
        <v>2024</v>
      </c>
      <c r="M108" s="8" t="s">
        <v>756</v>
      </c>
      <c r="N108" s="8" t="s">
        <v>41</v>
      </c>
      <c r="O108" s="8" t="s">
        <v>42</v>
      </c>
      <c r="P108" s="6" t="s">
        <v>70</v>
      </c>
      <c r="Q108" s="8" t="s">
        <v>71</v>
      </c>
      <c r="R108" s="10" t="s">
        <v>757</v>
      </c>
      <c r="S108" s="11" t="s">
        <v>758</v>
      </c>
      <c r="T108" s="6"/>
      <c r="U108" s="28" t="str">
        <f>HYPERLINK("https://media.infra-m.ru/2128/2128792/cover/2128792.jpg", "Обложка")</f>
        <v>Обложка</v>
      </c>
      <c r="V108" s="28" t="str">
        <f>HYPERLINK("https://znanium.ru/catalog/product/1896607", "Ознакомиться")</f>
        <v>Ознакомиться</v>
      </c>
      <c r="W108" s="8" t="s">
        <v>74</v>
      </c>
      <c r="X108" s="6"/>
      <c r="Y108" s="6" t="s">
        <v>30</v>
      </c>
      <c r="Z108" s="6"/>
      <c r="AA108" s="6" t="s">
        <v>305</v>
      </c>
    </row>
    <row r="109" spans="1:27" s="4" customFormat="1" ht="51.95" customHeight="1">
      <c r="A109" s="5">
        <v>0</v>
      </c>
      <c r="B109" s="6" t="s">
        <v>759</v>
      </c>
      <c r="C109" s="13">
        <v>754</v>
      </c>
      <c r="D109" s="8" t="s">
        <v>760</v>
      </c>
      <c r="E109" s="8" t="s">
        <v>761</v>
      </c>
      <c r="F109" s="8" t="s">
        <v>762</v>
      </c>
      <c r="G109" s="6" t="s">
        <v>37</v>
      </c>
      <c r="H109" s="6" t="s">
        <v>173</v>
      </c>
      <c r="I109" s="8" t="s">
        <v>68</v>
      </c>
      <c r="J109" s="9">
        <v>1</v>
      </c>
      <c r="K109" s="9">
        <v>159</v>
      </c>
      <c r="L109" s="9">
        <v>2024</v>
      </c>
      <c r="M109" s="8" t="s">
        <v>763</v>
      </c>
      <c r="N109" s="8" t="s">
        <v>41</v>
      </c>
      <c r="O109" s="8" t="s">
        <v>42</v>
      </c>
      <c r="P109" s="6" t="s">
        <v>43</v>
      </c>
      <c r="Q109" s="8" t="s">
        <v>71</v>
      </c>
      <c r="R109" s="10" t="s">
        <v>764</v>
      </c>
      <c r="S109" s="11" t="s">
        <v>765</v>
      </c>
      <c r="T109" s="6"/>
      <c r="U109" s="28" t="str">
        <f>HYPERLINK("https://media.infra-m.ru/2045/2045834/cover/2045834.jpg", "Обложка")</f>
        <v>Обложка</v>
      </c>
      <c r="V109" s="28" t="str">
        <f>HYPERLINK("https://znanium.ru/catalog/product/1212178", "Ознакомиться")</f>
        <v>Ознакомиться</v>
      </c>
      <c r="W109" s="8" t="s">
        <v>176</v>
      </c>
      <c r="X109" s="6"/>
      <c r="Y109" s="6"/>
      <c r="Z109" s="6" t="s">
        <v>594</v>
      </c>
      <c r="AA109" s="6" t="s">
        <v>101</v>
      </c>
    </row>
    <row r="110" spans="1:27" s="4" customFormat="1" ht="51.95" customHeight="1">
      <c r="A110" s="5">
        <v>0</v>
      </c>
      <c r="B110" s="6" t="s">
        <v>766</v>
      </c>
      <c r="C110" s="13">
        <v>870</v>
      </c>
      <c r="D110" s="8" t="s">
        <v>767</v>
      </c>
      <c r="E110" s="8" t="s">
        <v>761</v>
      </c>
      <c r="F110" s="8" t="s">
        <v>762</v>
      </c>
      <c r="G110" s="6" t="s">
        <v>66</v>
      </c>
      <c r="H110" s="6" t="s">
        <v>173</v>
      </c>
      <c r="I110" s="8" t="s">
        <v>54</v>
      </c>
      <c r="J110" s="9">
        <v>1</v>
      </c>
      <c r="K110" s="9">
        <v>159</v>
      </c>
      <c r="L110" s="9">
        <v>2024</v>
      </c>
      <c r="M110" s="8" t="s">
        <v>768</v>
      </c>
      <c r="N110" s="8" t="s">
        <v>41</v>
      </c>
      <c r="O110" s="8" t="s">
        <v>42</v>
      </c>
      <c r="P110" s="6" t="s">
        <v>43</v>
      </c>
      <c r="Q110" s="8" t="s">
        <v>56</v>
      </c>
      <c r="R110" s="10" t="s">
        <v>666</v>
      </c>
      <c r="S110" s="11" t="s">
        <v>769</v>
      </c>
      <c r="T110" s="6"/>
      <c r="U110" s="28" t="str">
        <f>HYPERLINK("https://media.infra-m.ru/2051/2051475/cover/2051475.jpg", "Обложка")</f>
        <v>Обложка</v>
      </c>
      <c r="V110" s="28" t="str">
        <f>HYPERLINK("https://znanium.ru/catalog/product/2051475", "Ознакомиться")</f>
        <v>Ознакомиться</v>
      </c>
      <c r="W110" s="8" t="s">
        <v>176</v>
      </c>
      <c r="X110" s="6"/>
      <c r="Y110" s="6"/>
      <c r="Z110" s="6"/>
      <c r="AA110" s="6" t="s">
        <v>177</v>
      </c>
    </row>
    <row r="111" spans="1:27" s="4" customFormat="1" ht="51.95" customHeight="1">
      <c r="A111" s="5">
        <v>0</v>
      </c>
      <c r="B111" s="6" t="s">
        <v>770</v>
      </c>
      <c r="C111" s="7">
        <v>1150</v>
      </c>
      <c r="D111" s="8" t="s">
        <v>771</v>
      </c>
      <c r="E111" s="8" t="s">
        <v>772</v>
      </c>
      <c r="F111" s="8" t="s">
        <v>773</v>
      </c>
      <c r="G111" s="6" t="s">
        <v>53</v>
      </c>
      <c r="H111" s="6" t="s">
        <v>67</v>
      </c>
      <c r="I111" s="8" t="s">
        <v>68</v>
      </c>
      <c r="J111" s="9">
        <v>1</v>
      </c>
      <c r="K111" s="9">
        <v>336</v>
      </c>
      <c r="L111" s="9">
        <v>2020</v>
      </c>
      <c r="M111" s="8" t="s">
        <v>774</v>
      </c>
      <c r="N111" s="8" t="s">
        <v>41</v>
      </c>
      <c r="O111" s="8" t="s">
        <v>42</v>
      </c>
      <c r="P111" s="6" t="s">
        <v>70</v>
      </c>
      <c r="Q111" s="8" t="s">
        <v>71</v>
      </c>
      <c r="R111" s="10" t="s">
        <v>775</v>
      </c>
      <c r="S111" s="11" t="s">
        <v>776</v>
      </c>
      <c r="T111" s="6"/>
      <c r="U111" s="28" t="str">
        <f>HYPERLINK("https://media.infra-m.ru/1070/1070212/cover/1070212.jpg", "Обложка")</f>
        <v>Обложка</v>
      </c>
      <c r="V111" s="28" t="str">
        <f>HYPERLINK("https://znanium.ru/catalog/product/1070212", "Ознакомиться")</f>
        <v>Ознакомиться</v>
      </c>
      <c r="W111" s="8" t="s">
        <v>777</v>
      </c>
      <c r="X111" s="6"/>
      <c r="Y111" s="6"/>
      <c r="Z111" s="6"/>
      <c r="AA111" s="6" t="s">
        <v>778</v>
      </c>
    </row>
    <row r="112" spans="1:27" s="4" customFormat="1" ht="44.1" customHeight="1">
      <c r="A112" s="5">
        <v>0</v>
      </c>
      <c r="B112" s="6" t="s">
        <v>779</v>
      </c>
      <c r="C112" s="7">
        <v>1390</v>
      </c>
      <c r="D112" s="8" t="s">
        <v>780</v>
      </c>
      <c r="E112" s="8" t="s">
        <v>781</v>
      </c>
      <c r="F112" s="8" t="s">
        <v>782</v>
      </c>
      <c r="G112" s="6" t="s">
        <v>66</v>
      </c>
      <c r="H112" s="6" t="s">
        <v>67</v>
      </c>
      <c r="I112" s="8" t="s">
        <v>783</v>
      </c>
      <c r="J112" s="9">
        <v>1</v>
      </c>
      <c r="K112" s="9">
        <v>282</v>
      </c>
      <c r="L112" s="9">
        <v>2023</v>
      </c>
      <c r="M112" s="8" t="s">
        <v>784</v>
      </c>
      <c r="N112" s="8" t="s">
        <v>41</v>
      </c>
      <c r="O112" s="8" t="s">
        <v>42</v>
      </c>
      <c r="P112" s="6" t="s">
        <v>110</v>
      </c>
      <c r="Q112" s="8" t="s">
        <v>111</v>
      </c>
      <c r="R112" s="10" t="s">
        <v>785</v>
      </c>
      <c r="S112" s="11"/>
      <c r="T112" s="6"/>
      <c r="U112" s="28" t="str">
        <f>HYPERLINK("https://media.infra-m.ru/1908/1908345/cover/1908345.jpg", "Обложка")</f>
        <v>Обложка</v>
      </c>
      <c r="V112" s="12"/>
      <c r="W112" s="8" t="s">
        <v>786</v>
      </c>
      <c r="X112" s="6"/>
      <c r="Y112" s="6"/>
      <c r="Z112" s="6"/>
      <c r="AA112" s="6" t="s">
        <v>190</v>
      </c>
    </row>
    <row r="113" spans="1:27" s="4" customFormat="1" ht="44.1" customHeight="1">
      <c r="A113" s="5">
        <v>0</v>
      </c>
      <c r="B113" s="6" t="s">
        <v>787</v>
      </c>
      <c r="C113" s="13">
        <v>774</v>
      </c>
      <c r="D113" s="8" t="s">
        <v>788</v>
      </c>
      <c r="E113" s="8" t="s">
        <v>789</v>
      </c>
      <c r="F113" s="8" t="s">
        <v>790</v>
      </c>
      <c r="G113" s="6" t="s">
        <v>37</v>
      </c>
      <c r="H113" s="6" t="s">
        <v>38</v>
      </c>
      <c r="I113" s="8" t="s">
        <v>39</v>
      </c>
      <c r="J113" s="9">
        <v>1</v>
      </c>
      <c r="K113" s="9">
        <v>172</v>
      </c>
      <c r="L113" s="9">
        <v>2023</v>
      </c>
      <c r="M113" s="8" t="s">
        <v>791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650</v>
      </c>
      <c r="S113" s="11"/>
      <c r="T113" s="6"/>
      <c r="U113" s="28" t="str">
        <f>HYPERLINK("https://media.infra-m.ru/1998/1998738/cover/1998738.jpg", "Обложка")</f>
        <v>Обложка</v>
      </c>
      <c r="V113" s="28" t="str">
        <f>HYPERLINK("https://znanium.ru/catalog/product/1039195", "Ознакомиться")</f>
        <v>Ознакомиться</v>
      </c>
      <c r="W113" s="8" t="s">
        <v>60</v>
      </c>
      <c r="X113" s="6"/>
      <c r="Y113" s="6"/>
      <c r="Z113" s="6"/>
      <c r="AA113" s="6" t="s">
        <v>75</v>
      </c>
    </row>
    <row r="114" spans="1:27" s="4" customFormat="1" ht="51.95" customHeight="1">
      <c r="A114" s="5">
        <v>0</v>
      </c>
      <c r="B114" s="6" t="s">
        <v>792</v>
      </c>
      <c r="C114" s="13">
        <v>504</v>
      </c>
      <c r="D114" s="8" t="s">
        <v>793</v>
      </c>
      <c r="E114" s="8" t="s">
        <v>794</v>
      </c>
      <c r="F114" s="8" t="s">
        <v>222</v>
      </c>
      <c r="G114" s="6" t="s">
        <v>37</v>
      </c>
      <c r="H114" s="6" t="s">
        <v>38</v>
      </c>
      <c r="I114" s="8" t="s">
        <v>39</v>
      </c>
      <c r="J114" s="9">
        <v>1</v>
      </c>
      <c r="K114" s="9">
        <v>109</v>
      </c>
      <c r="L114" s="9">
        <v>2024</v>
      </c>
      <c r="M114" s="8" t="s">
        <v>795</v>
      </c>
      <c r="N114" s="8" t="s">
        <v>41</v>
      </c>
      <c r="O114" s="8" t="s">
        <v>42</v>
      </c>
      <c r="P114" s="6" t="s">
        <v>43</v>
      </c>
      <c r="Q114" s="8" t="s">
        <v>44</v>
      </c>
      <c r="R114" s="10" t="s">
        <v>796</v>
      </c>
      <c r="S114" s="11" t="s">
        <v>225</v>
      </c>
      <c r="T114" s="6"/>
      <c r="U114" s="28" t="str">
        <f>HYPERLINK("https://media.infra-m.ru/2104/2104863/cover/2104863.jpg", "Обложка")</f>
        <v>Обложка</v>
      </c>
      <c r="V114" s="28" t="str">
        <f>HYPERLINK("https://znanium.ru/catalog/product/1081380", "Ознакомиться")</f>
        <v>Ознакомиться</v>
      </c>
      <c r="W114" s="8" t="s">
        <v>226</v>
      </c>
      <c r="X114" s="6"/>
      <c r="Y114" s="6"/>
      <c r="Z114" s="6"/>
      <c r="AA114" s="6" t="s">
        <v>227</v>
      </c>
    </row>
    <row r="115" spans="1:27" s="4" customFormat="1" ht="51.95" customHeight="1">
      <c r="A115" s="5">
        <v>0</v>
      </c>
      <c r="B115" s="6" t="s">
        <v>797</v>
      </c>
      <c r="C115" s="13">
        <v>544.9</v>
      </c>
      <c r="D115" s="8" t="s">
        <v>798</v>
      </c>
      <c r="E115" s="8" t="s">
        <v>799</v>
      </c>
      <c r="F115" s="8" t="s">
        <v>800</v>
      </c>
      <c r="G115" s="6" t="s">
        <v>53</v>
      </c>
      <c r="H115" s="6" t="s">
        <v>67</v>
      </c>
      <c r="I115" s="8" t="s">
        <v>106</v>
      </c>
      <c r="J115" s="9">
        <v>1</v>
      </c>
      <c r="K115" s="9">
        <v>174</v>
      </c>
      <c r="L115" s="9">
        <v>2018</v>
      </c>
      <c r="M115" s="8" t="s">
        <v>801</v>
      </c>
      <c r="N115" s="8" t="s">
        <v>121</v>
      </c>
      <c r="O115" s="8" t="s">
        <v>122</v>
      </c>
      <c r="P115" s="6" t="s">
        <v>110</v>
      </c>
      <c r="Q115" s="8" t="s">
        <v>111</v>
      </c>
      <c r="R115" s="10" t="s">
        <v>802</v>
      </c>
      <c r="S115" s="11"/>
      <c r="T115" s="6"/>
      <c r="U115" s="28" t="str">
        <f>HYPERLINK("https://media.infra-m.ru/0959/0959919/cover/959919.jpg", "Обложка")</f>
        <v>Обложка</v>
      </c>
      <c r="V115" s="28" t="str">
        <f>HYPERLINK("https://znanium.ru/catalog/product/959919", "Ознакомиться")</f>
        <v>Ознакомиться</v>
      </c>
      <c r="W115" s="8" t="s">
        <v>803</v>
      </c>
      <c r="X115" s="6"/>
      <c r="Y115" s="6"/>
      <c r="Z115" s="6"/>
      <c r="AA115" s="6" t="s">
        <v>157</v>
      </c>
    </row>
    <row r="116" spans="1:27" s="4" customFormat="1" ht="42" customHeight="1">
      <c r="A116" s="5">
        <v>0</v>
      </c>
      <c r="B116" s="6" t="s">
        <v>804</v>
      </c>
      <c r="C116" s="13">
        <v>890</v>
      </c>
      <c r="D116" s="8" t="s">
        <v>805</v>
      </c>
      <c r="E116" s="8" t="s">
        <v>806</v>
      </c>
      <c r="F116" s="8" t="s">
        <v>807</v>
      </c>
      <c r="G116" s="6" t="s">
        <v>53</v>
      </c>
      <c r="H116" s="6" t="s">
        <v>67</v>
      </c>
      <c r="I116" s="8" t="s">
        <v>106</v>
      </c>
      <c r="J116" s="9">
        <v>1</v>
      </c>
      <c r="K116" s="9">
        <v>186</v>
      </c>
      <c r="L116" s="9">
        <v>2023</v>
      </c>
      <c r="M116" s="8" t="s">
        <v>808</v>
      </c>
      <c r="N116" s="8" t="s">
        <v>121</v>
      </c>
      <c r="O116" s="8" t="s">
        <v>122</v>
      </c>
      <c r="P116" s="6" t="s">
        <v>110</v>
      </c>
      <c r="Q116" s="8" t="s">
        <v>111</v>
      </c>
      <c r="R116" s="10" t="s">
        <v>809</v>
      </c>
      <c r="S116" s="11"/>
      <c r="T116" s="6"/>
      <c r="U116" s="28" t="str">
        <f>HYPERLINK("https://media.infra-m.ru/1921/1921373/cover/1921373.jpg", "Обложка")</f>
        <v>Обложка</v>
      </c>
      <c r="V116" s="28" t="str">
        <f>HYPERLINK("https://znanium.ru/catalog/product/1921373", "Ознакомиться")</f>
        <v>Ознакомиться</v>
      </c>
      <c r="W116" s="8" t="s">
        <v>810</v>
      </c>
      <c r="X116" s="6"/>
      <c r="Y116" s="6"/>
      <c r="Z116" s="6"/>
      <c r="AA116" s="6" t="s">
        <v>115</v>
      </c>
    </row>
    <row r="117" spans="1:27" s="4" customFormat="1" ht="42" customHeight="1">
      <c r="A117" s="5">
        <v>0</v>
      </c>
      <c r="B117" s="6" t="s">
        <v>811</v>
      </c>
      <c r="C117" s="7">
        <v>1170</v>
      </c>
      <c r="D117" s="8" t="s">
        <v>812</v>
      </c>
      <c r="E117" s="8" t="s">
        <v>813</v>
      </c>
      <c r="F117" s="8" t="s">
        <v>814</v>
      </c>
      <c r="G117" s="6" t="s">
        <v>37</v>
      </c>
      <c r="H117" s="6" t="s">
        <v>67</v>
      </c>
      <c r="I117" s="8" t="s">
        <v>68</v>
      </c>
      <c r="J117" s="9">
        <v>1</v>
      </c>
      <c r="K117" s="9">
        <v>235</v>
      </c>
      <c r="L117" s="9">
        <v>2024</v>
      </c>
      <c r="M117" s="8" t="s">
        <v>815</v>
      </c>
      <c r="N117" s="8" t="s">
        <v>41</v>
      </c>
      <c r="O117" s="8" t="s">
        <v>42</v>
      </c>
      <c r="P117" s="6" t="s">
        <v>70</v>
      </c>
      <c r="Q117" s="8" t="s">
        <v>71</v>
      </c>
      <c r="R117" s="10" t="s">
        <v>816</v>
      </c>
      <c r="S117" s="11"/>
      <c r="T117" s="6"/>
      <c r="U117" s="28" t="str">
        <f>HYPERLINK("https://media.infra-m.ru/1863/1863249/cover/1863249.jpg", "Обложка")</f>
        <v>Обложка</v>
      </c>
      <c r="V117" s="28" t="str">
        <f>HYPERLINK("https://znanium.ru/catalog/product/1863249", "Ознакомиться")</f>
        <v>Ознакомиться</v>
      </c>
      <c r="W117" s="8" t="s">
        <v>817</v>
      </c>
      <c r="X117" s="6" t="s">
        <v>679</v>
      </c>
      <c r="Y117" s="6"/>
      <c r="Z117" s="6"/>
      <c r="AA117" s="6" t="s">
        <v>485</v>
      </c>
    </row>
    <row r="118" spans="1:27" s="4" customFormat="1" ht="51.95" customHeight="1">
      <c r="A118" s="5">
        <v>0</v>
      </c>
      <c r="B118" s="6" t="s">
        <v>818</v>
      </c>
      <c r="C118" s="7">
        <v>1400</v>
      </c>
      <c r="D118" s="8" t="s">
        <v>819</v>
      </c>
      <c r="E118" s="8" t="s">
        <v>820</v>
      </c>
      <c r="F118" s="8" t="s">
        <v>821</v>
      </c>
      <c r="G118" s="6" t="s">
        <v>66</v>
      </c>
      <c r="H118" s="6" t="s">
        <v>67</v>
      </c>
      <c r="I118" s="8" t="s">
        <v>68</v>
      </c>
      <c r="J118" s="9">
        <v>1</v>
      </c>
      <c r="K118" s="9">
        <v>309</v>
      </c>
      <c r="L118" s="9">
        <v>2023</v>
      </c>
      <c r="M118" s="8" t="s">
        <v>822</v>
      </c>
      <c r="N118" s="8" t="s">
        <v>121</v>
      </c>
      <c r="O118" s="8" t="s">
        <v>122</v>
      </c>
      <c r="P118" s="6" t="s">
        <v>43</v>
      </c>
      <c r="Q118" s="8" t="s">
        <v>71</v>
      </c>
      <c r="R118" s="10" t="s">
        <v>823</v>
      </c>
      <c r="S118" s="11" t="s">
        <v>824</v>
      </c>
      <c r="T118" s="6"/>
      <c r="U118" s="28" t="str">
        <f>HYPERLINK("https://media.infra-m.ru/1916/1916136/cover/1916136.jpg", "Обложка")</f>
        <v>Обложка</v>
      </c>
      <c r="V118" s="28" t="str">
        <f>HYPERLINK("https://znanium.ru/catalog/product/1916136", "Ознакомиться")</f>
        <v>Ознакомиться</v>
      </c>
      <c r="W118" s="8" t="s">
        <v>825</v>
      </c>
      <c r="X118" s="6"/>
      <c r="Y118" s="6" t="s">
        <v>30</v>
      </c>
      <c r="Z118" s="6"/>
      <c r="AA118" s="6" t="s">
        <v>236</v>
      </c>
    </row>
    <row r="119" spans="1:27" s="4" customFormat="1" ht="42" customHeight="1">
      <c r="A119" s="5">
        <v>0</v>
      </c>
      <c r="B119" s="6" t="s">
        <v>826</v>
      </c>
      <c r="C119" s="7">
        <v>1360</v>
      </c>
      <c r="D119" s="8" t="s">
        <v>827</v>
      </c>
      <c r="E119" s="8" t="s">
        <v>828</v>
      </c>
      <c r="F119" s="8" t="s">
        <v>119</v>
      </c>
      <c r="G119" s="6" t="s">
        <v>37</v>
      </c>
      <c r="H119" s="6" t="s">
        <v>67</v>
      </c>
      <c r="I119" s="8" t="s">
        <v>68</v>
      </c>
      <c r="J119" s="9">
        <v>1</v>
      </c>
      <c r="K119" s="9">
        <v>281</v>
      </c>
      <c r="L119" s="9">
        <v>2024</v>
      </c>
      <c r="M119" s="8" t="s">
        <v>829</v>
      </c>
      <c r="N119" s="8" t="s">
        <v>41</v>
      </c>
      <c r="O119" s="8" t="s">
        <v>42</v>
      </c>
      <c r="P119" s="6" t="s">
        <v>70</v>
      </c>
      <c r="Q119" s="8" t="s">
        <v>71</v>
      </c>
      <c r="R119" s="10" t="s">
        <v>764</v>
      </c>
      <c r="S119" s="11"/>
      <c r="T119" s="6"/>
      <c r="U119" s="28" t="str">
        <f>HYPERLINK("https://media.infra-m.ru/2150/2150768/cover/2150768.jpg", "Обложка")</f>
        <v>Обложка</v>
      </c>
      <c r="V119" s="28" t="str">
        <f>HYPERLINK("https://znanium.ru/catalog/product/2150768", "Ознакомиться")</f>
        <v>Ознакомиться</v>
      </c>
      <c r="W119" s="8" t="s">
        <v>125</v>
      </c>
      <c r="X119" s="6" t="s">
        <v>830</v>
      </c>
      <c r="Y119" s="6"/>
      <c r="Z119" s="6" t="s">
        <v>132</v>
      </c>
      <c r="AA119" s="6" t="s">
        <v>485</v>
      </c>
    </row>
    <row r="120" spans="1:27" s="4" customFormat="1" ht="44.1" customHeight="1">
      <c r="A120" s="5">
        <v>0</v>
      </c>
      <c r="B120" s="6" t="s">
        <v>831</v>
      </c>
      <c r="C120" s="7">
        <v>1340</v>
      </c>
      <c r="D120" s="8" t="s">
        <v>832</v>
      </c>
      <c r="E120" s="8" t="s">
        <v>828</v>
      </c>
      <c r="F120" s="8" t="s">
        <v>119</v>
      </c>
      <c r="G120" s="6" t="s">
        <v>37</v>
      </c>
      <c r="H120" s="6" t="s">
        <v>67</v>
      </c>
      <c r="I120" s="8" t="s">
        <v>54</v>
      </c>
      <c r="J120" s="9">
        <v>1</v>
      </c>
      <c r="K120" s="9">
        <v>281</v>
      </c>
      <c r="L120" s="9">
        <v>2023</v>
      </c>
      <c r="M120" s="8" t="s">
        <v>833</v>
      </c>
      <c r="N120" s="8" t="s">
        <v>41</v>
      </c>
      <c r="O120" s="8" t="s">
        <v>42</v>
      </c>
      <c r="P120" s="6" t="s">
        <v>70</v>
      </c>
      <c r="Q120" s="8" t="s">
        <v>44</v>
      </c>
      <c r="R120" s="10" t="s">
        <v>834</v>
      </c>
      <c r="S120" s="11"/>
      <c r="T120" s="6"/>
      <c r="U120" s="28" t="str">
        <f>HYPERLINK("https://media.infra-m.ru/1904/1904373/cover/1904373.jpg", "Обложка")</f>
        <v>Обложка</v>
      </c>
      <c r="V120" s="28" t="str">
        <f>HYPERLINK("https://znanium.ru/catalog/product/1904373", "Ознакомиться")</f>
        <v>Ознакомиться</v>
      </c>
      <c r="W120" s="8" t="s">
        <v>125</v>
      </c>
      <c r="X120" s="6" t="s">
        <v>835</v>
      </c>
      <c r="Y120" s="6"/>
      <c r="Z120" s="6"/>
      <c r="AA120" s="6" t="s">
        <v>115</v>
      </c>
    </row>
    <row r="121" spans="1:27" s="4" customFormat="1" ht="42" customHeight="1">
      <c r="A121" s="5">
        <v>0</v>
      </c>
      <c r="B121" s="6" t="s">
        <v>836</v>
      </c>
      <c r="C121" s="7">
        <v>1360</v>
      </c>
      <c r="D121" s="8" t="s">
        <v>837</v>
      </c>
      <c r="E121" s="8" t="s">
        <v>838</v>
      </c>
      <c r="F121" s="8" t="s">
        <v>839</v>
      </c>
      <c r="G121" s="6" t="s">
        <v>66</v>
      </c>
      <c r="H121" s="6" t="s">
        <v>38</v>
      </c>
      <c r="I121" s="8" t="s">
        <v>54</v>
      </c>
      <c r="J121" s="9">
        <v>1</v>
      </c>
      <c r="K121" s="9">
        <v>296</v>
      </c>
      <c r="L121" s="9">
        <v>2023</v>
      </c>
      <c r="M121" s="8" t="s">
        <v>840</v>
      </c>
      <c r="N121" s="8" t="s">
        <v>108</v>
      </c>
      <c r="O121" s="8" t="s">
        <v>109</v>
      </c>
      <c r="P121" s="6" t="s">
        <v>70</v>
      </c>
      <c r="Q121" s="8" t="s">
        <v>44</v>
      </c>
      <c r="R121" s="10" t="s">
        <v>330</v>
      </c>
      <c r="S121" s="11"/>
      <c r="T121" s="6"/>
      <c r="U121" s="28" t="str">
        <f>HYPERLINK("https://media.infra-m.ru/1896/1896917/cover/1896917.jpg", "Обложка")</f>
        <v>Обложка</v>
      </c>
      <c r="V121" s="28" t="str">
        <f>HYPERLINK("https://znanium.ru/catalog/product/1896917", "Ознакомиться")</f>
        <v>Ознакомиться</v>
      </c>
      <c r="W121" s="8" t="s">
        <v>652</v>
      </c>
      <c r="X121" s="6"/>
      <c r="Y121" s="6"/>
      <c r="Z121" s="6"/>
      <c r="AA121" s="6" t="s">
        <v>841</v>
      </c>
    </row>
    <row r="122" spans="1:27" s="4" customFormat="1" ht="51.95" customHeight="1">
      <c r="A122" s="5">
        <v>0</v>
      </c>
      <c r="B122" s="6" t="s">
        <v>842</v>
      </c>
      <c r="C122" s="13">
        <v>560</v>
      </c>
      <c r="D122" s="8" t="s">
        <v>843</v>
      </c>
      <c r="E122" s="8" t="s">
        <v>844</v>
      </c>
      <c r="F122" s="8" t="s">
        <v>845</v>
      </c>
      <c r="G122" s="6" t="s">
        <v>53</v>
      </c>
      <c r="H122" s="6" t="s">
        <v>67</v>
      </c>
      <c r="I122" s="8" t="s">
        <v>846</v>
      </c>
      <c r="J122" s="9">
        <v>1</v>
      </c>
      <c r="K122" s="9">
        <v>121</v>
      </c>
      <c r="L122" s="9">
        <v>2024</v>
      </c>
      <c r="M122" s="8" t="s">
        <v>847</v>
      </c>
      <c r="N122" s="8" t="s">
        <v>41</v>
      </c>
      <c r="O122" s="8" t="s">
        <v>42</v>
      </c>
      <c r="P122" s="6" t="s">
        <v>43</v>
      </c>
      <c r="Q122" s="8" t="s">
        <v>56</v>
      </c>
      <c r="R122" s="10" t="s">
        <v>330</v>
      </c>
      <c r="S122" s="11" t="s">
        <v>848</v>
      </c>
      <c r="T122" s="6"/>
      <c r="U122" s="28" t="str">
        <f>HYPERLINK("https://media.infra-m.ru/2013/2013704/cover/2013704.jpg", "Обложка")</f>
        <v>Обложка</v>
      </c>
      <c r="V122" s="28" t="str">
        <f>HYPERLINK("https://znanium.ru/catalog/product/2013704", "Ознакомиться")</f>
        <v>Ознакомиться</v>
      </c>
      <c r="W122" s="8" t="s">
        <v>849</v>
      </c>
      <c r="X122" s="6"/>
      <c r="Y122" s="6"/>
      <c r="Z122" s="6"/>
      <c r="AA122" s="6" t="s">
        <v>126</v>
      </c>
    </row>
    <row r="123" spans="1:27" s="4" customFormat="1" ht="42" customHeight="1">
      <c r="A123" s="5">
        <v>0</v>
      </c>
      <c r="B123" s="6" t="s">
        <v>850</v>
      </c>
      <c r="C123" s="7">
        <v>1360</v>
      </c>
      <c r="D123" s="8" t="s">
        <v>851</v>
      </c>
      <c r="E123" s="8" t="s">
        <v>852</v>
      </c>
      <c r="F123" s="8" t="s">
        <v>839</v>
      </c>
      <c r="G123" s="6" t="s">
        <v>66</v>
      </c>
      <c r="H123" s="6" t="s">
        <v>38</v>
      </c>
      <c r="I123" s="8" t="s">
        <v>853</v>
      </c>
      <c r="J123" s="9">
        <v>1</v>
      </c>
      <c r="K123" s="9">
        <v>296</v>
      </c>
      <c r="L123" s="9">
        <v>2024</v>
      </c>
      <c r="M123" s="8" t="s">
        <v>854</v>
      </c>
      <c r="N123" s="8" t="s">
        <v>108</v>
      </c>
      <c r="O123" s="8" t="s">
        <v>109</v>
      </c>
      <c r="P123" s="6" t="s">
        <v>70</v>
      </c>
      <c r="Q123" s="8" t="s">
        <v>71</v>
      </c>
      <c r="R123" s="10" t="s">
        <v>529</v>
      </c>
      <c r="S123" s="11"/>
      <c r="T123" s="6"/>
      <c r="U123" s="28" t="str">
        <f>HYPERLINK("https://media.infra-m.ru/2062/2062316/cover/2062316.jpg", "Обложка")</f>
        <v>Обложка</v>
      </c>
      <c r="V123" s="28" t="str">
        <f>HYPERLINK("https://znanium.ru/catalog/product/2062316", "Ознакомиться")</f>
        <v>Ознакомиться</v>
      </c>
      <c r="W123" s="8" t="s">
        <v>652</v>
      </c>
      <c r="X123" s="6"/>
      <c r="Y123" s="6"/>
      <c r="Z123" s="6" t="s">
        <v>132</v>
      </c>
      <c r="AA123" s="6" t="s">
        <v>101</v>
      </c>
    </row>
    <row r="124" spans="1:27" s="4" customFormat="1" ht="51.95" customHeight="1">
      <c r="A124" s="5">
        <v>0</v>
      </c>
      <c r="B124" s="6" t="s">
        <v>855</v>
      </c>
      <c r="C124" s="7">
        <v>2510</v>
      </c>
      <c r="D124" s="8" t="s">
        <v>856</v>
      </c>
      <c r="E124" s="8" t="s">
        <v>857</v>
      </c>
      <c r="F124" s="8" t="s">
        <v>858</v>
      </c>
      <c r="G124" s="6" t="s">
        <v>37</v>
      </c>
      <c r="H124" s="6" t="s">
        <v>67</v>
      </c>
      <c r="I124" s="8" t="s">
        <v>207</v>
      </c>
      <c r="J124" s="9">
        <v>1</v>
      </c>
      <c r="K124" s="9">
        <v>543</v>
      </c>
      <c r="L124" s="9">
        <v>2024</v>
      </c>
      <c r="M124" s="8" t="s">
        <v>859</v>
      </c>
      <c r="N124" s="8" t="s">
        <v>41</v>
      </c>
      <c r="O124" s="8" t="s">
        <v>42</v>
      </c>
      <c r="P124" s="6" t="s">
        <v>70</v>
      </c>
      <c r="Q124" s="8" t="s">
        <v>209</v>
      </c>
      <c r="R124" s="10" t="s">
        <v>860</v>
      </c>
      <c r="S124" s="11" t="s">
        <v>861</v>
      </c>
      <c r="T124" s="6"/>
      <c r="U124" s="28" t="str">
        <f>HYPERLINK("https://media.infra-m.ru/2054/2054122/cover/2054122.jpg", "Обложка")</f>
        <v>Обложка</v>
      </c>
      <c r="V124" s="28" t="str">
        <f>HYPERLINK("https://znanium.ru/catalog/product/2054122", "Ознакомиться")</f>
        <v>Ознакомиться</v>
      </c>
      <c r="W124" s="8" t="s">
        <v>862</v>
      </c>
      <c r="X124" s="6"/>
      <c r="Y124" s="6"/>
      <c r="Z124" s="6"/>
      <c r="AA124" s="6" t="s">
        <v>126</v>
      </c>
    </row>
    <row r="125" spans="1:27" s="4" customFormat="1" ht="51.95" customHeight="1">
      <c r="A125" s="5">
        <v>0</v>
      </c>
      <c r="B125" s="6" t="s">
        <v>863</v>
      </c>
      <c r="C125" s="7">
        <v>1200</v>
      </c>
      <c r="D125" s="8" t="s">
        <v>864</v>
      </c>
      <c r="E125" s="8" t="s">
        <v>865</v>
      </c>
      <c r="F125" s="8" t="s">
        <v>866</v>
      </c>
      <c r="G125" s="6" t="s">
        <v>66</v>
      </c>
      <c r="H125" s="6" t="s">
        <v>67</v>
      </c>
      <c r="I125" s="8" t="s">
        <v>68</v>
      </c>
      <c r="J125" s="9">
        <v>1</v>
      </c>
      <c r="K125" s="9">
        <v>254</v>
      </c>
      <c r="L125" s="9">
        <v>2024</v>
      </c>
      <c r="M125" s="8" t="s">
        <v>867</v>
      </c>
      <c r="N125" s="8" t="s">
        <v>41</v>
      </c>
      <c r="O125" s="8" t="s">
        <v>42</v>
      </c>
      <c r="P125" s="6" t="s">
        <v>70</v>
      </c>
      <c r="Q125" s="8" t="s">
        <v>71</v>
      </c>
      <c r="R125" s="10" t="s">
        <v>868</v>
      </c>
      <c r="S125" s="11" t="s">
        <v>90</v>
      </c>
      <c r="T125" s="6"/>
      <c r="U125" s="28" t="str">
        <f>HYPERLINK("https://media.infra-m.ru/2129/2129030/cover/2129030.jpg", "Обложка")</f>
        <v>Обложка</v>
      </c>
      <c r="V125" s="28" t="str">
        <f>HYPERLINK("https://znanium.ru/catalog/product/2129030", "Ознакомиться")</f>
        <v>Ознакомиться</v>
      </c>
      <c r="W125" s="8" t="s">
        <v>74</v>
      </c>
      <c r="X125" s="6"/>
      <c r="Y125" s="6" t="s">
        <v>30</v>
      </c>
      <c r="Z125" s="6"/>
      <c r="AA125" s="6" t="s">
        <v>778</v>
      </c>
    </row>
    <row r="126" spans="1:27" s="4" customFormat="1" ht="51.95" customHeight="1">
      <c r="A126" s="5">
        <v>0</v>
      </c>
      <c r="B126" s="6" t="s">
        <v>869</v>
      </c>
      <c r="C126" s="13">
        <v>570</v>
      </c>
      <c r="D126" s="8" t="s">
        <v>870</v>
      </c>
      <c r="E126" s="8" t="s">
        <v>871</v>
      </c>
      <c r="F126" s="8" t="s">
        <v>872</v>
      </c>
      <c r="G126" s="6" t="s">
        <v>53</v>
      </c>
      <c r="H126" s="6" t="s">
        <v>173</v>
      </c>
      <c r="I126" s="8" t="s">
        <v>54</v>
      </c>
      <c r="J126" s="9">
        <v>1</v>
      </c>
      <c r="K126" s="9">
        <v>128</v>
      </c>
      <c r="L126" s="9">
        <v>2020</v>
      </c>
      <c r="M126" s="8" t="s">
        <v>873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874</v>
      </c>
      <c r="S126" s="11" t="s">
        <v>875</v>
      </c>
      <c r="T126" s="6"/>
      <c r="U126" s="28" t="str">
        <f>HYPERLINK("https://media.infra-m.ru/1052/1052189/cover/1052189.jpg", "Обложка")</f>
        <v>Обложка</v>
      </c>
      <c r="V126" s="28" t="str">
        <f>HYPERLINK("https://znanium.ru/catalog/product/2133106", "Ознакомиться")</f>
        <v>Ознакомиться</v>
      </c>
      <c r="W126" s="8" t="s">
        <v>176</v>
      </c>
      <c r="X126" s="6"/>
      <c r="Y126" s="6"/>
      <c r="Z126" s="6"/>
      <c r="AA126" s="6" t="s">
        <v>157</v>
      </c>
    </row>
    <row r="127" spans="1:27" s="4" customFormat="1" ht="51.95" customHeight="1">
      <c r="A127" s="5">
        <v>0</v>
      </c>
      <c r="B127" s="6" t="s">
        <v>876</v>
      </c>
      <c r="C127" s="7">
        <v>1094</v>
      </c>
      <c r="D127" s="8" t="s">
        <v>877</v>
      </c>
      <c r="E127" s="8" t="s">
        <v>878</v>
      </c>
      <c r="F127" s="8" t="s">
        <v>879</v>
      </c>
      <c r="G127" s="6" t="s">
        <v>37</v>
      </c>
      <c r="H127" s="6" t="s">
        <v>67</v>
      </c>
      <c r="I127" s="8" t="s">
        <v>880</v>
      </c>
      <c r="J127" s="9">
        <v>1</v>
      </c>
      <c r="K127" s="9">
        <v>238</v>
      </c>
      <c r="L127" s="9">
        <v>2023</v>
      </c>
      <c r="M127" s="8" t="s">
        <v>881</v>
      </c>
      <c r="N127" s="8" t="s">
        <v>41</v>
      </c>
      <c r="O127" s="8" t="s">
        <v>42</v>
      </c>
      <c r="P127" s="6" t="s">
        <v>43</v>
      </c>
      <c r="Q127" s="8" t="s">
        <v>44</v>
      </c>
      <c r="R127" s="10" t="s">
        <v>330</v>
      </c>
      <c r="S127" s="11" t="s">
        <v>882</v>
      </c>
      <c r="T127" s="6"/>
      <c r="U127" s="28" t="str">
        <f>HYPERLINK("https://media.infra-m.ru/2030/2030853/cover/2030853.jpg", "Обложка")</f>
        <v>Обложка</v>
      </c>
      <c r="V127" s="28" t="str">
        <f>HYPERLINK("https://znanium.ru/catalog/product/1062329", "Ознакомиться")</f>
        <v>Ознакомиться</v>
      </c>
      <c r="W127" s="8" t="s">
        <v>849</v>
      </c>
      <c r="X127" s="6"/>
      <c r="Y127" s="6"/>
      <c r="Z127" s="6"/>
      <c r="AA127" s="6" t="s">
        <v>126</v>
      </c>
    </row>
    <row r="128" spans="1:27" s="4" customFormat="1" ht="51.95" customHeight="1">
      <c r="A128" s="5">
        <v>0</v>
      </c>
      <c r="B128" s="6" t="s">
        <v>883</v>
      </c>
      <c r="C128" s="13">
        <v>980</v>
      </c>
      <c r="D128" s="8" t="s">
        <v>884</v>
      </c>
      <c r="E128" s="8" t="s">
        <v>885</v>
      </c>
      <c r="F128" s="8" t="s">
        <v>886</v>
      </c>
      <c r="G128" s="6" t="s">
        <v>66</v>
      </c>
      <c r="H128" s="6" t="s">
        <v>67</v>
      </c>
      <c r="I128" s="8" t="s">
        <v>68</v>
      </c>
      <c r="J128" s="9">
        <v>1</v>
      </c>
      <c r="K128" s="9">
        <v>208</v>
      </c>
      <c r="L128" s="9">
        <v>2024</v>
      </c>
      <c r="M128" s="8" t="s">
        <v>887</v>
      </c>
      <c r="N128" s="8" t="s">
        <v>41</v>
      </c>
      <c r="O128" s="8" t="s">
        <v>42</v>
      </c>
      <c r="P128" s="6" t="s">
        <v>70</v>
      </c>
      <c r="Q128" s="8" t="s">
        <v>71</v>
      </c>
      <c r="R128" s="10" t="s">
        <v>888</v>
      </c>
      <c r="S128" s="11" t="s">
        <v>551</v>
      </c>
      <c r="T128" s="6"/>
      <c r="U128" s="28" t="str">
        <f>HYPERLINK("https://media.infra-m.ru/2131/2131533/cover/2131533.jpg", "Обложка")</f>
        <v>Обложка</v>
      </c>
      <c r="V128" s="28" t="str">
        <f>HYPERLINK("https://znanium.ru/catalog/product/2131533", "Ознакомиться")</f>
        <v>Ознакомиться</v>
      </c>
      <c r="W128" s="8" t="s">
        <v>74</v>
      </c>
      <c r="X128" s="6"/>
      <c r="Y128" s="6"/>
      <c r="Z128" s="6"/>
      <c r="AA128" s="6" t="s">
        <v>305</v>
      </c>
    </row>
    <row r="129" spans="1:27" s="4" customFormat="1" ht="51.95" customHeight="1">
      <c r="A129" s="5">
        <v>0</v>
      </c>
      <c r="B129" s="6" t="s">
        <v>889</v>
      </c>
      <c r="C129" s="13">
        <v>984.9</v>
      </c>
      <c r="D129" s="8" t="s">
        <v>890</v>
      </c>
      <c r="E129" s="8" t="s">
        <v>891</v>
      </c>
      <c r="F129" s="8" t="s">
        <v>892</v>
      </c>
      <c r="G129" s="6" t="s">
        <v>37</v>
      </c>
      <c r="H129" s="6" t="s">
        <v>67</v>
      </c>
      <c r="I129" s="8" t="s">
        <v>39</v>
      </c>
      <c r="J129" s="9">
        <v>1</v>
      </c>
      <c r="K129" s="9">
        <v>336</v>
      </c>
      <c r="L129" s="9">
        <v>2018</v>
      </c>
      <c r="M129" s="8" t="s">
        <v>893</v>
      </c>
      <c r="N129" s="8" t="s">
        <v>41</v>
      </c>
      <c r="O129" s="8" t="s">
        <v>42</v>
      </c>
      <c r="P129" s="6" t="s">
        <v>70</v>
      </c>
      <c r="Q129" s="8" t="s">
        <v>44</v>
      </c>
      <c r="R129" s="10" t="s">
        <v>894</v>
      </c>
      <c r="S129" s="11" t="s">
        <v>895</v>
      </c>
      <c r="T129" s="6"/>
      <c r="U129" s="28" t="str">
        <f>HYPERLINK("https://media.infra-m.ru/0920/0920552/cover/920552.jpg", "Обложка")</f>
        <v>Обложка</v>
      </c>
      <c r="V129" s="28" t="str">
        <f>HYPERLINK("https://znanium.ru/catalog/product/2125018", "Ознакомиться")</f>
        <v>Ознакомиться</v>
      </c>
      <c r="W129" s="8" t="s">
        <v>410</v>
      </c>
      <c r="X129" s="6"/>
      <c r="Y129" s="6"/>
      <c r="Z129" s="6"/>
      <c r="AA129" s="6" t="s">
        <v>227</v>
      </c>
    </row>
    <row r="130" spans="1:27" s="4" customFormat="1" ht="51.95" customHeight="1">
      <c r="A130" s="5">
        <v>0</v>
      </c>
      <c r="B130" s="6" t="s">
        <v>896</v>
      </c>
      <c r="C130" s="7">
        <v>1514.9</v>
      </c>
      <c r="D130" s="8" t="s">
        <v>897</v>
      </c>
      <c r="E130" s="8" t="s">
        <v>891</v>
      </c>
      <c r="F130" s="8" t="s">
        <v>898</v>
      </c>
      <c r="G130" s="6" t="s">
        <v>37</v>
      </c>
      <c r="H130" s="6" t="s">
        <v>67</v>
      </c>
      <c r="I130" s="8" t="s">
        <v>68</v>
      </c>
      <c r="J130" s="9">
        <v>1</v>
      </c>
      <c r="K130" s="9">
        <v>336</v>
      </c>
      <c r="L130" s="9">
        <v>2023</v>
      </c>
      <c r="M130" s="8" t="s">
        <v>899</v>
      </c>
      <c r="N130" s="8" t="s">
        <v>41</v>
      </c>
      <c r="O130" s="8" t="s">
        <v>42</v>
      </c>
      <c r="P130" s="6" t="s">
        <v>70</v>
      </c>
      <c r="Q130" s="8" t="s">
        <v>71</v>
      </c>
      <c r="R130" s="10" t="s">
        <v>900</v>
      </c>
      <c r="S130" s="11" t="s">
        <v>901</v>
      </c>
      <c r="T130" s="6"/>
      <c r="U130" s="28" t="str">
        <f>HYPERLINK("https://media.infra-m.ru/2030/2030872/cover/2030872.jpg", "Обложка")</f>
        <v>Обложка</v>
      </c>
      <c r="V130" s="28" t="str">
        <f>HYPERLINK("https://znanium.ru/catalog/product/1069050", "Ознакомиться")</f>
        <v>Ознакомиться</v>
      </c>
      <c r="W130" s="8" t="s">
        <v>410</v>
      </c>
      <c r="X130" s="6"/>
      <c r="Y130" s="6"/>
      <c r="Z130" s="6" t="s">
        <v>132</v>
      </c>
      <c r="AA130" s="6" t="s">
        <v>126</v>
      </c>
    </row>
    <row r="131" spans="1:27" s="4" customFormat="1" ht="51.95" customHeight="1">
      <c r="A131" s="5">
        <v>0</v>
      </c>
      <c r="B131" s="6" t="s">
        <v>902</v>
      </c>
      <c r="C131" s="13">
        <v>500</v>
      </c>
      <c r="D131" s="8" t="s">
        <v>903</v>
      </c>
      <c r="E131" s="8" t="s">
        <v>904</v>
      </c>
      <c r="F131" s="8" t="s">
        <v>905</v>
      </c>
      <c r="G131" s="6" t="s">
        <v>53</v>
      </c>
      <c r="H131" s="6" t="s">
        <v>67</v>
      </c>
      <c r="I131" s="8" t="s">
        <v>906</v>
      </c>
      <c r="J131" s="9">
        <v>1</v>
      </c>
      <c r="K131" s="9">
        <v>138</v>
      </c>
      <c r="L131" s="9">
        <v>2021</v>
      </c>
      <c r="M131" s="8" t="s">
        <v>907</v>
      </c>
      <c r="N131" s="8" t="s">
        <v>41</v>
      </c>
      <c r="O131" s="8" t="s">
        <v>42</v>
      </c>
      <c r="P131" s="6" t="s">
        <v>43</v>
      </c>
      <c r="Q131" s="8" t="s">
        <v>44</v>
      </c>
      <c r="R131" s="10" t="s">
        <v>908</v>
      </c>
      <c r="S131" s="11" t="s">
        <v>909</v>
      </c>
      <c r="T131" s="6"/>
      <c r="U131" s="28" t="str">
        <f>HYPERLINK("https://media.infra-m.ru/1284/1284349/cover/1284349.jpg", "Обложка")</f>
        <v>Обложка</v>
      </c>
      <c r="V131" s="12"/>
      <c r="W131" s="8" t="s">
        <v>786</v>
      </c>
      <c r="X131" s="6"/>
      <c r="Y131" s="6"/>
      <c r="Z131" s="6"/>
      <c r="AA131" s="6" t="s">
        <v>190</v>
      </c>
    </row>
    <row r="132" spans="1:27" s="4" customFormat="1" ht="51.95" customHeight="1">
      <c r="A132" s="5">
        <v>0</v>
      </c>
      <c r="B132" s="6" t="s">
        <v>910</v>
      </c>
      <c r="C132" s="7">
        <v>1200</v>
      </c>
      <c r="D132" s="8" t="s">
        <v>911</v>
      </c>
      <c r="E132" s="8" t="s">
        <v>912</v>
      </c>
      <c r="F132" s="8" t="s">
        <v>913</v>
      </c>
      <c r="G132" s="6" t="s">
        <v>66</v>
      </c>
      <c r="H132" s="6" t="s">
        <v>67</v>
      </c>
      <c r="I132" s="8" t="s">
        <v>68</v>
      </c>
      <c r="J132" s="9">
        <v>1</v>
      </c>
      <c r="K132" s="9">
        <v>256</v>
      </c>
      <c r="L132" s="9">
        <v>2024</v>
      </c>
      <c r="M132" s="8" t="s">
        <v>914</v>
      </c>
      <c r="N132" s="8" t="s">
        <v>41</v>
      </c>
      <c r="O132" s="8" t="s">
        <v>42</v>
      </c>
      <c r="P132" s="6" t="s">
        <v>70</v>
      </c>
      <c r="Q132" s="8" t="s">
        <v>71</v>
      </c>
      <c r="R132" s="10" t="s">
        <v>81</v>
      </c>
      <c r="S132" s="11" t="s">
        <v>915</v>
      </c>
      <c r="T132" s="6"/>
      <c r="U132" s="28" t="str">
        <f>HYPERLINK("https://media.infra-m.ru/2138/2138507/cover/2138507.jpg", "Обложка")</f>
        <v>Обложка</v>
      </c>
      <c r="V132" s="28" t="str">
        <f>HYPERLINK("https://znanium.ru/catalog/product/2138507", "Ознакомиться")</f>
        <v>Ознакомиться</v>
      </c>
      <c r="W132" s="8" t="s">
        <v>74</v>
      </c>
      <c r="X132" s="6"/>
      <c r="Y132" s="6"/>
      <c r="Z132" s="6"/>
      <c r="AA132" s="6" t="s">
        <v>305</v>
      </c>
    </row>
    <row r="133" spans="1:27" s="4" customFormat="1" ht="51.95" customHeight="1">
      <c r="A133" s="5">
        <v>0</v>
      </c>
      <c r="B133" s="6" t="s">
        <v>916</v>
      </c>
      <c r="C133" s="7">
        <v>2260</v>
      </c>
      <c r="D133" s="8" t="s">
        <v>917</v>
      </c>
      <c r="E133" s="8" t="s">
        <v>918</v>
      </c>
      <c r="F133" s="8" t="s">
        <v>919</v>
      </c>
      <c r="G133" s="6" t="s">
        <v>37</v>
      </c>
      <c r="H133" s="6" t="s">
        <v>67</v>
      </c>
      <c r="I133" s="8" t="s">
        <v>68</v>
      </c>
      <c r="J133" s="9">
        <v>1</v>
      </c>
      <c r="K133" s="9">
        <v>480</v>
      </c>
      <c r="L133" s="9">
        <v>2024</v>
      </c>
      <c r="M133" s="8" t="s">
        <v>920</v>
      </c>
      <c r="N133" s="8" t="s">
        <v>41</v>
      </c>
      <c r="O133" s="8" t="s">
        <v>42</v>
      </c>
      <c r="P133" s="6" t="s">
        <v>70</v>
      </c>
      <c r="Q133" s="8" t="s">
        <v>71</v>
      </c>
      <c r="R133" s="10" t="s">
        <v>921</v>
      </c>
      <c r="S133" s="11" t="s">
        <v>90</v>
      </c>
      <c r="T133" s="6"/>
      <c r="U133" s="28" t="str">
        <f>HYPERLINK("https://media.infra-m.ru/2143/2143708/cover/2143708.jpg", "Обложка")</f>
        <v>Обложка</v>
      </c>
      <c r="V133" s="28" t="str">
        <f>HYPERLINK("https://znanium.ru/catalog/product/2143708", "Ознакомиться")</f>
        <v>Ознакомиться</v>
      </c>
      <c r="W133" s="8" t="s">
        <v>922</v>
      </c>
      <c r="X133" s="6"/>
      <c r="Y133" s="6" t="s">
        <v>30</v>
      </c>
      <c r="Z133" s="6"/>
      <c r="AA133" s="6" t="s">
        <v>305</v>
      </c>
    </row>
    <row r="134" spans="1:27" s="4" customFormat="1" ht="51.95" customHeight="1">
      <c r="A134" s="5">
        <v>0</v>
      </c>
      <c r="B134" s="6" t="s">
        <v>923</v>
      </c>
      <c r="C134" s="7">
        <v>1210</v>
      </c>
      <c r="D134" s="8" t="s">
        <v>924</v>
      </c>
      <c r="E134" s="8" t="s">
        <v>925</v>
      </c>
      <c r="F134" s="8" t="s">
        <v>926</v>
      </c>
      <c r="G134" s="6" t="s">
        <v>66</v>
      </c>
      <c r="H134" s="6" t="s">
        <v>67</v>
      </c>
      <c r="I134" s="8" t="s">
        <v>68</v>
      </c>
      <c r="J134" s="9">
        <v>1</v>
      </c>
      <c r="K134" s="9">
        <v>268</v>
      </c>
      <c r="L134" s="9">
        <v>2023</v>
      </c>
      <c r="M134" s="8" t="s">
        <v>927</v>
      </c>
      <c r="N134" s="8" t="s">
        <v>41</v>
      </c>
      <c r="O134" s="8" t="s">
        <v>42</v>
      </c>
      <c r="P134" s="6" t="s">
        <v>70</v>
      </c>
      <c r="Q134" s="8" t="s">
        <v>71</v>
      </c>
      <c r="R134" s="10" t="s">
        <v>928</v>
      </c>
      <c r="S134" s="11" t="s">
        <v>758</v>
      </c>
      <c r="T134" s="6"/>
      <c r="U134" s="28" t="str">
        <f>HYPERLINK("https://media.infra-m.ru/1895/1895090/cover/1895090.jpg", "Обложка")</f>
        <v>Обложка</v>
      </c>
      <c r="V134" s="28" t="str">
        <f>HYPERLINK("https://znanium.ru/catalog/product/1895090", "Ознакомиться")</f>
        <v>Ознакомиться</v>
      </c>
      <c r="W134" s="8" t="s">
        <v>74</v>
      </c>
      <c r="X134" s="6"/>
      <c r="Y134" s="6"/>
      <c r="Z134" s="6"/>
      <c r="AA134" s="6" t="s">
        <v>305</v>
      </c>
    </row>
    <row r="135" spans="1:27" s="4" customFormat="1" ht="42" customHeight="1">
      <c r="A135" s="5">
        <v>0</v>
      </c>
      <c r="B135" s="6" t="s">
        <v>929</v>
      </c>
      <c r="C135" s="7">
        <v>1050</v>
      </c>
      <c r="D135" s="8" t="s">
        <v>930</v>
      </c>
      <c r="E135" s="8" t="s">
        <v>931</v>
      </c>
      <c r="F135" s="8" t="s">
        <v>231</v>
      </c>
      <c r="G135" s="6" t="s">
        <v>53</v>
      </c>
      <c r="H135" s="6" t="s">
        <v>67</v>
      </c>
      <c r="I135" s="8" t="s">
        <v>106</v>
      </c>
      <c r="J135" s="9">
        <v>1</v>
      </c>
      <c r="K135" s="9">
        <v>203</v>
      </c>
      <c r="L135" s="9">
        <v>2021</v>
      </c>
      <c r="M135" s="8" t="s">
        <v>932</v>
      </c>
      <c r="N135" s="8" t="s">
        <v>41</v>
      </c>
      <c r="O135" s="8" t="s">
        <v>42</v>
      </c>
      <c r="P135" s="6" t="s">
        <v>110</v>
      </c>
      <c r="Q135" s="8" t="s">
        <v>111</v>
      </c>
      <c r="R135" s="10" t="s">
        <v>933</v>
      </c>
      <c r="S135" s="11"/>
      <c r="T135" s="6"/>
      <c r="U135" s="28" t="str">
        <f>HYPERLINK("https://media.infra-m.ru/1230/1230211/cover/1230211.jpg", "Обложка")</f>
        <v>Обложка</v>
      </c>
      <c r="V135" s="28" t="str">
        <f>HYPERLINK("https://znanium.ru/catalog/product/1230211", "Ознакомиться")</f>
        <v>Ознакомиться</v>
      </c>
      <c r="W135" s="8" t="s">
        <v>235</v>
      </c>
      <c r="X135" s="6"/>
      <c r="Y135" s="6"/>
      <c r="Z135" s="6"/>
      <c r="AA135" s="6" t="s">
        <v>236</v>
      </c>
    </row>
    <row r="136" spans="1:27" s="4" customFormat="1" ht="51.95" customHeight="1">
      <c r="A136" s="5">
        <v>0</v>
      </c>
      <c r="B136" s="6" t="s">
        <v>934</v>
      </c>
      <c r="C136" s="13">
        <v>800</v>
      </c>
      <c r="D136" s="8" t="s">
        <v>935</v>
      </c>
      <c r="E136" s="8" t="s">
        <v>936</v>
      </c>
      <c r="F136" s="8" t="s">
        <v>937</v>
      </c>
      <c r="G136" s="6" t="s">
        <v>53</v>
      </c>
      <c r="H136" s="6" t="s">
        <v>38</v>
      </c>
      <c r="I136" s="8" t="s">
        <v>95</v>
      </c>
      <c r="J136" s="9">
        <v>1</v>
      </c>
      <c r="K136" s="9">
        <v>176</v>
      </c>
      <c r="L136" s="9">
        <v>2023</v>
      </c>
      <c r="M136" s="8" t="s">
        <v>938</v>
      </c>
      <c r="N136" s="8" t="s">
        <v>41</v>
      </c>
      <c r="O136" s="8" t="s">
        <v>42</v>
      </c>
      <c r="P136" s="6" t="s">
        <v>70</v>
      </c>
      <c r="Q136" s="8" t="s">
        <v>97</v>
      </c>
      <c r="R136" s="10" t="s">
        <v>939</v>
      </c>
      <c r="S136" s="11" t="s">
        <v>940</v>
      </c>
      <c r="T136" s="6" t="s">
        <v>59</v>
      </c>
      <c r="U136" s="28" t="str">
        <f>HYPERLINK("https://media.infra-m.ru/1937/1937178/cover/1937178.jpg", "Обложка")</f>
        <v>Обложка</v>
      </c>
      <c r="V136" s="28" t="str">
        <f>HYPERLINK("https://znanium.ru/catalog/product/1937178", "Ознакомиться")</f>
        <v>Ознакомиться</v>
      </c>
      <c r="W136" s="8" t="s">
        <v>60</v>
      </c>
      <c r="X136" s="6"/>
      <c r="Y136" s="6"/>
      <c r="Z136" s="6"/>
      <c r="AA136" s="6" t="s">
        <v>48</v>
      </c>
    </row>
    <row r="137" spans="1:27" s="4" customFormat="1" ht="51.95" customHeight="1">
      <c r="A137" s="5">
        <v>0</v>
      </c>
      <c r="B137" s="6" t="s">
        <v>941</v>
      </c>
      <c r="C137" s="7">
        <v>1300</v>
      </c>
      <c r="D137" s="8" t="s">
        <v>942</v>
      </c>
      <c r="E137" s="8" t="s">
        <v>943</v>
      </c>
      <c r="F137" s="8" t="s">
        <v>119</v>
      </c>
      <c r="G137" s="6" t="s">
        <v>37</v>
      </c>
      <c r="H137" s="6" t="s">
        <v>67</v>
      </c>
      <c r="I137" s="8" t="s">
        <v>39</v>
      </c>
      <c r="J137" s="9">
        <v>1</v>
      </c>
      <c r="K137" s="9">
        <v>338</v>
      </c>
      <c r="L137" s="9">
        <v>2022</v>
      </c>
      <c r="M137" s="8" t="s">
        <v>944</v>
      </c>
      <c r="N137" s="8" t="s">
        <v>121</v>
      </c>
      <c r="O137" s="8" t="s">
        <v>122</v>
      </c>
      <c r="P137" s="6" t="s">
        <v>70</v>
      </c>
      <c r="Q137" s="8" t="s">
        <v>44</v>
      </c>
      <c r="R137" s="10" t="s">
        <v>945</v>
      </c>
      <c r="S137" s="11" t="s">
        <v>946</v>
      </c>
      <c r="T137" s="6"/>
      <c r="U137" s="28" t="str">
        <f>HYPERLINK("https://media.infra-m.ru/1093/1093074/cover/1093074.jpg", "Обложка")</f>
        <v>Обложка</v>
      </c>
      <c r="V137" s="28" t="str">
        <f>HYPERLINK("https://znanium.ru/catalog/product/1093074", "Ознакомиться")</f>
        <v>Ознакомиться</v>
      </c>
      <c r="W137" s="8" t="s">
        <v>125</v>
      </c>
      <c r="X137" s="6"/>
      <c r="Y137" s="6"/>
      <c r="Z137" s="6"/>
      <c r="AA137" s="6" t="s">
        <v>244</v>
      </c>
    </row>
    <row r="138" spans="1:27" s="4" customFormat="1" ht="51.95" customHeight="1">
      <c r="A138" s="5">
        <v>0</v>
      </c>
      <c r="B138" s="6" t="s">
        <v>947</v>
      </c>
      <c r="C138" s="13">
        <v>620</v>
      </c>
      <c r="D138" s="8" t="s">
        <v>948</v>
      </c>
      <c r="E138" s="8" t="s">
        <v>949</v>
      </c>
      <c r="F138" s="8" t="s">
        <v>950</v>
      </c>
      <c r="G138" s="6" t="s">
        <v>66</v>
      </c>
      <c r="H138" s="6" t="s">
        <v>67</v>
      </c>
      <c r="I138" s="8" t="s">
        <v>39</v>
      </c>
      <c r="J138" s="9">
        <v>1</v>
      </c>
      <c r="K138" s="9">
        <v>133</v>
      </c>
      <c r="L138" s="9">
        <v>2023</v>
      </c>
      <c r="M138" s="8" t="s">
        <v>951</v>
      </c>
      <c r="N138" s="8" t="s">
        <v>41</v>
      </c>
      <c r="O138" s="8" t="s">
        <v>42</v>
      </c>
      <c r="P138" s="6" t="s">
        <v>43</v>
      </c>
      <c r="Q138" s="8" t="s">
        <v>44</v>
      </c>
      <c r="R138" s="10" t="s">
        <v>258</v>
      </c>
      <c r="S138" s="11" t="s">
        <v>952</v>
      </c>
      <c r="T138" s="6"/>
      <c r="U138" s="28" t="str">
        <f>HYPERLINK("https://media.infra-m.ru/2126/2126630/cover/2126630.jpg", "Обложка")</f>
        <v>Обложка</v>
      </c>
      <c r="V138" s="28" t="str">
        <f>HYPERLINK("https://znanium.ru/catalog/product/2126630", "Ознакомиться")</f>
        <v>Ознакомиться</v>
      </c>
      <c r="W138" s="8" t="s">
        <v>100</v>
      </c>
      <c r="X138" s="6"/>
      <c r="Y138" s="6"/>
      <c r="Z138" s="6"/>
      <c r="AA138" s="6" t="s">
        <v>953</v>
      </c>
    </row>
    <row r="139" spans="1:27" s="4" customFormat="1" ht="44.1" customHeight="1">
      <c r="A139" s="5">
        <v>0</v>
      </c>
      <c r="B139" s="6" t="s">
        <v>954</v>
      </c>
      <c r="C139" s="13">
        <v>880</v>
      </c>
      <c r="D139" s="8" t="s">
        <v>955</v>
      </c>
      <c r="E139" s="8" t="s">
        <v>956</v>
      </c>
      <c r="F139" s="8" t="s">
        <v>957</v>
      </c>
      <c r="G139" s="6" t="s">
        <v>66</v>
      </c>
      <c r="H139" s="6" t="s">
        <v>67</v>
      </c>
      <c r="I139" s="8" t="s">
        <v>783</v>
      </c>
      <c r="J139" s="9">
        <v>1</v>
      </c>
      <c r="K139" s="9">
        <v>173</v>
      </c>
      <c r="L139" s="9">
        <v>2022</v>
      </c>
      <c r="M139" s="8" t="s">
        <v>958</v>
      </c>
      <c r="N139" s="8" t="s">
        <v>41</v>
      </c>
      <c r="O139" s="8" t="s">
        <v>42</v>
      </c>
      <c r="P139" s="6" t="s">
        <v>110</v>
      </c>
      <c r="Q139" s="8" t="s">
        <v>111</v>
      </c>
      <c r="R139" s="10" t="s">
        <v>959</v>
      </c>
      <c r="S139" s="11"/>
      <c r="T139" s="6"/>
      <c r="U139" s="28" t="str">
        <f>HYPERLINK("https://media.infra-m.ru/1856/1856674/cover/1856674.jpg", "Обложка")</f>
        <v>Обложка</v>
      </c>
      <c r="V139" s="12"/>
      <c r="W139" s="8" t="s">
        <v>786</v>
      </c>
      <c r="X139" s="6"/>
      <c r="Y139" s="6"/>
      <c r="Z139" s="6"/>
      <c r="AA139" s="6" t="s">
        <v>190</v>
      </c>
    </row>
    <row r="140" spans="1:27" s="4" customFormat="1" ht="51.95" customHeight="1">
      <c r="A140" s="5">
        <v>0</v>
      </c>
      <c r="B140" s="6" t="s">
        <v>960</v>
      </c>
      <c r="C140" s="7">
        <v>1300</v>
      </c>
      <c r="D140" s="8" t="s">
        <v>961</v>
      </c>
      <c r="E140" s="8" t="s">
        <v>962</v>
      </c>
      <c r="F140" s="8" t="s">
        <v>963</v>
      </c>
      <c r="G140" s="6" t="s">
        <v>37</v>
      </c>
      <c r="H140" s="6" t="s">
        <v>67</v>
      </c>
      <c r="I140" s="8" t="s">
        <v>964</v>
      </c>
      <c r="J140" s="9">
        <v>1</v>
      </c>
      <c r="K140" s="9">
        <v>285</v>
      </c>
      <c r="L140" s="9">
        <v>2023</v>
      </c>
      <c r="M140" s="8" t="s">
        <v>965</v>
      </c>
      <c r="N140" s="8" t="s">
        <v>41</v>
      </c>
      <c r="O140" s="8" t="s">
        <v>42</v>
      </c>
      <c r="P140" s="6" t="s">
        <v>966</v>
      </c>
      <c r="Q140" s="8" t="s">
        <v>56</v>
      </c>
      <c r="R140" s="10" t="s">
        <v>967</v>
      </c>
      <c r="S140" s="11"/>
      <c r="T140" s="6"/>
      <c r="U140" s="28" t="str">
        <f>HYPERLINK("https://media.infra-m.ru/1918/1918490/cover/1918490.jpg", "Обложка")</f>
        <v>Обложка</v>
      </c>
      <c r="V140" s="28" t="str">
        <f>HYPERLINK("https://znanium.ru/catalog/product/1918490", "Ознакомиться")</f>
        <v>Ознакомиться</v>
      </c>
      <c r="W140" s="8" t="s">
        <v>968</v>
      </c>
      <c r="X140" s="6"/>
      <c r="Y140" s="6"/>
      <c r="Z140" s="6"/>
      <c r="AA140" s="6" t="s">
        <v>115</v>
      </c>
    </row>
    <row r="141" spans="1:27" s="4" customFormat="1" ht="42" customHeight="1">
      <c r="A141" s="5">
        <v>0</v>
      </c>
      <c r="B141" s="6" t="s">
        <v>969</v>
      </c>
      <c r="C141" s="13">
        <v>810</v>
      </c>
      <c r="D141" s="8" t="s">
        <v>970</v>
      </c>
      <c r="E141" s="8" t="s">
        <v>971</v>
      </c>
      <c r="F141" s="8" t="s">
        <v>963</v>
      </c>
      <c r="G141" s="6" t="s">
        <v>37</v>
      </c>
      <c r="H141" s="6" t="s">
        <v>67</v>
      </c>
      <c r="I141" s="8"/>
      <c r="J141" s="9">
        <v>1</v>
      </c>
      <c r="K141" s="9">
        <v>178</v>
      </c>
      <c r="L141" s="9">
        <v>2023</v>
      </c>
      <c r="M141" s="8" t="s">
        <v>972</v>
      </c>
      <c r="N141" s="8" t="s">
        <v>41</v>
      </c>
      <c r="O141" s="8" t="s">
        <v>42</v>
      </c>
      <c r="P141" s="6" t="s">
        <v>966</v>
      </c>
      <c r="Q141" s="8" t="s">
        <v>56</v>
      </c>
      <c r="R141" s="10" t="s">
        <v>973</v>
      </c>
      <c r="S141" s="11"/>
      <c r="T141" s="6"/>
      <c r="U141" s="28" t="str">
        <f>HYPERLINK("https://media.infra-m.ru/1939/1939108/cover/1939108.jpg", "Обложка")</f>
        <v>Обложка</v>
      </c>
      <c r="V141" s="28" t="str">
        <f>HYPERLINK("https://znanium.ru/catalog/product/1939108", "Ознакомиться")</f>
        <v>Ознакомиться</v>
      </c>
      <c r="W141" s="8" t="s">
        <v>968</v>
      </c>
      <c r="X141" s="6"/>
      <c r="Y141" s="6"/>
      <c r="Z141" s="6"/>
      <c r="AA141" s="6" t="s">
        <v>115</v>
      </c>
    </row>
    <row r="142" spans="1:27" s="4" customFormat="1" ht="51.95" customHeight="1">
      <c r="A142" s="5">
        <v>0</v>
      </c>
      <c r="B142" s="6" t="s">
        <v>974</v>
      </c>
      <c r="C142" s="7">
        <v>1090</v>
      </c>
      <c r="D142" s="8" t="s">
        <v>975</v>
      </c>
      <c r="E142" s="8" t="s">
        <v>976</v>
      </c>
      <c r="F142" s="8" t="s">
        <v>963</v>
      </c>
      <c r="G142" s="6" t="s">
        <v>66</v>
      </c>
      <c r="H142" s="6" t="s">
        <v>67</v>
      </c>
      <c r="I142" s="8" t="s">
        <v>964</v>
      </c>
      <c r="J142" s="9">
        <v>1</v>
      </c>
      <c r="K142" s="9">
        <v>238</v>
      </c>
      <c r="L142" s="9">
        <v>2024</v>
      </c>
      <c r="M142" s="8" t="s">
        <v>977</v>
      </c>
      <c r="N142" s="8" t="s">
        <v>41</v>
      </c>
      <c r="O142" s="8" t="s">
        <v>42</v>
      </c>
      <c r="P142" s="6" t="s">
        <v>966</v>
      </c>
      <c r="Q142" s="8" t="s">
        <v>56</v>
      </c>
      <c r="R142" s="10" t="s">
        <v>967</v>
      </c>
      <c r="S142" s="11"/>
      <c r="T142" s="6"/>
      <c r="U142" s="28" t="str">
        <f>HYPERLINK("https://media.infra-m.ru/1921/1921397/cover/1921397.jpg", "Обложка")</f>
        <v>Обложка</v>
      </c>
      <c r="V142" s="28" t="str">
        <f>HYPERLINK("https://znanium.ru/catalog/product/1843565", "Ознакомиться")</f>
        <v>Ознакомиться</v>
      </c>
      <c r="W142" s="8" t="s">
        <v>968</v>
      </c>
      <c r="X142" s="6"/>
      <c r="Y142" s="6"/>
      <c r="Z142" s="6"/>
      <c r="AA142" s="6" t="s">
        <v>126</v>
      </c>
    </row>
    <row r="143" spans="1:27" s="4" customFormat="1" ht="51.95" customHeight="1">
      <c r="A143" s="5">
        <v>0</v>
      </c>
      <c r="B143" s="6" t="s">
        <v>978</v>
      </c>
      <c r="C143" s="13">
        <v>940</v>
      </c>
      <c r="D143" s="8" t="s">
        <v>979</v>
      </c>
      <c r="E143" s="8" t="s">
        <v>980</v>
      </c>
      <c r="F143" s="8" t="s">
        <v>231</v>
      </c>
      <c r="G143" s="6" t="s">
        <v>53</v>
      </c>
      <c r="H143" s="6" t="s">
        <v>67</v>
      </c>
      <c r="I143" s="8" t="s">
        <v>106</v>
      </c>
      <c r="J143" s="9">
        <v>1</v>
      </c>
      <c r="K143" s="9">
        <v>190</v>
      </c>
      <c r="L143" s="9">
        <v>2022</v>
      </c>
      <c r="M143" s="8" t="s">
        <v>981</v>
      </c>
      <c r="N143" s="8" t="s">
        <v>41</v>
      </c>
      <c r="O143" s="8" t="s">
        <v>42</v>
      </c>
      <c r="P143" s="6" t="s">
        <v>110</v>
      </c>
      <c r="Q143" s="8" t="s">
        <v>111</v>
      </c>
      <c r="R143" s="10" t="s">
        <v>982</v>
      </c>
      <c r="S143" s="11"/>
      <c r="T143" s="6"/>
      <c r="U143" s="28" t="str">
        <f>HYPERLINK("https://media.infra-m.ru/1852/1852911/cover/1852911.jpg", "Обложка")</f>
        <v>Обложка</v>
      </c>
      <c r="V143" s="28" t="str">
        <f>HYPERLINK("https://znanium.ru/catalog/product/1852911", "Ознакомиться")</f>
        <v>Ознакомиться</v>
      </c>
      <c r="W143" s="8" t="s">
        <v>235</v>
      </c>
      <c r="X143" s="6"/>
      <c r="Y143" s="6"/>
      <c r="Z143" s="6"/>
      <c r="AA143" s="6" t="s">
        <v>244</v>
      </c>
    </row>
    <row r="144" spans="1:27" s="4" customFormat="1" ht="42" customHeight="1">
      <c r="A144" s="5">
        <v>0</v>
      </c>
      <c r="B144" s="6" t="s">
        <v>983</v>
      </c>
      <c r="C144" s="13">
        <v>300</v>
      </c>
      <c r="D144" s="8" t="s">
        <v>984</v>
      </c>
      <c r="E144" s="8" t="s">
        <v>985</v>
      </c>
      <c r="F144" s="8" t="s">
        <v>986</v>
      </c>
      <c r="G144" s="6" t="s">
        <v>987</v>
      </c>
      <c r="H144" s="6" t="s">
        <v>67</v>
      </c>
      <c r="I144" s="8" t="s">
        <v>988</v>
      </c>
      <c r="J144" s="9">
        <v>1</v>
      </c>
      <c r="K144" s="9">
        <v>49</v>
      </c>
      <c r="L144" s="9">
        <v>2023</v>
      </c>
      <c r="M144" s="8" t="s">
        <v>989</v>
      </c>
      <c r="N144" s="8" t="s">
        <v>41</v>
      </c>
      <c r="O144" s="8" t="s">
        <v>42</v>
      </c>
      <c r="P144" s="6" t="s">
        <v>990</v>
      </c>
      <c r="Q144" s="8" t="s">
        <v>111</v>
      </c>
      <c r="R144" s="10" t="s">
        <v>81</v>
      </c>
      <c r="S144" s="11"/>
      <c r="T144" s="6"/>
      <c r="U144" s="28" t="str">
        <f>HYPERLINK("https://media.infra-m.ru/2070/2070075/cover/2070075.jpg", "Обложка")</f>
        <v>Обложка</v>
      </c>
      <c r="V144" s="28" t="str">
        <f>HYPERLINK("https://znanium.ru/catalog/product/2070075", "Ознакомиться")</f>
        <v>Ознакомиться</v>
      </c>
      <c r="W144" s="8"/>
      <c r="X144" s="6"/>
      <c r="Y144" s="6"/>
      <c r="Z144" s="6"/>
      <c r="AA144" s="6" t="s">
        <v>674</v>
      </c>
    </row>
    <row r="145" spans="1:27" s="4" customFormat="1" ht="42" customHeight="1">
      <c r="A145" s="5">
        <v>0</v>
      </c>
      <c r="B145" s="6" t="s">
        <v>991</v>
      </c>
      <c r="C145" s="13">
        <v>210</v>
      </c>
      <c r="D145" s="8" t="s">
        <v>992</v>
      </c>
      <c r="E145" s="8" t="s">
        <v>993</v>
      </c>
      <c r="F145" s="8" t="s">
        <v>986</v>
      </c>
      <c r="G145" s="6" t="s">
        <v>987</v>
      </c>
      <c r="H145" s="6" t="s">
        <v>67</v>
      </c>
      <c r="I145" s="8" t="s">
        <v>988</v>
      </c>
      <c r="J145" s="9">
        <v>1</v>
      </c>
      <c r="K145" s="9">
        <v>44</v>
      </c>
      <c r="L145" s="9">
        <v>2019</v>
      </c>
      <c r="M145" s="8" t="s">
        <v>989</v>
      </c>
      <c r="N145" s="8" t="s">
        <v>41</v>
      </c>
      <c r="O145" s="8" t="s">
        <v>42</v>
      </c>
      <c r="P145" s="6" t="s">
        <v>990</v>
      </c>
      <c r="Q145" s="8" t="s">
        <v>111</v>
      </c>
      <c r="R145" s="10" t="s">
        <v>81</v>
      </c>
      <c r="S145" s="11"/>
      <c r="T145" s="6"/>
      <c r="U145" s="28" t="str">
        <f>HYPERLINK("https://media.infra-m.ru/1008/1008536/cover/1008536.jpg", "Обложка")</f>
        <v>Обложка</v>
      </c>
      <c r="V145" s="28" t="str">
        <f>HYPERLINK("https://znanium.ru/catalog/product/2070075", "Ознакомиться")</f>
        <v>Ознакомиться</v>
      </c>
      <c r="W145" s="8"/>
      <c r="X145" s="6"/>
      <c r="Y145" s="6"/>
      <c r="Z145" s="6"/>
      <c r="AA145" s="6" t="s">
        <v>61</v>
      </c>
    </row>
    <row r="146" spans="1:27" s="4" customFormat="1" ht="42" customHeight="1">
      <c r="A146" s="5">
        <v>0</v>
      </c>
      <c r="B146" s="6" t="s">
        <v>994</v>
      </c>
      <c r="C146" s="13">
        <v>930</v>
      </c>
      <c r="D146" s="8" t="s">
        <v>995</v>
      </c>
      <c r="E146" s="8" t="s">
        <v>996</v>
      </c>
      <c r="F146" s="8" t="s">
        <v>997</v>
      </c>
      <c r="G146" s="6" t="s">
        <v>53</v>
      </c>
      <c r="H146" s="6" t="s">
        <v>67</v>
      </c>
      <c r="I146" s="8" t="s">
        <v>106</v>
      </c>
      <c r="J146" s="9">
        <v>1</v>
      </c>
      <c r="K146" s="9">
        <v>239</v>
      </c>
      <c r="L146" s="9">
        <v>2022</v>
      </c>
      <c r="M146" s="8" t="s">
        <v>998</v>
      </c>
      <c r="N146" s="8" t="s">
        <v>41</v>
      </c>
      <c r="O146" s="8" t="s">
        <v>42</v>
      </c>
      <c r="P146" s="6" t="s">
        <v>110</v>
      </c>
      <c r="Q146" s="8" t="s">
        <v>111</v>
      </c>
      <c r="R146" s="10" t="s">
        <v>478</v>
      </c>
      <c r="S146" s="11"/>
      <c r="T146" s="6"/>
      <c r="U146" s="28" t="str">
        <f>HYPERLINK("https://media.infra-m.ru/1021/1021971/cover/1021971.jpg", "Обложка")</f>
        <v>Обложка</v>
      </c>
      <c r="V146" s="28" t="str">
        <f>HYPERLINK("https://znanium.ru/catalog/product/1021971", "Ознакомиться")</f>
        <v>Ознакомиться</v>
      </c>
      <c r="W146" s="8" t="s">
        <v>999</v>
      </c>
      <c r="X146" s="6"/>
      <c r="Y146" s="6"/>
      <c r="Z146" s="6"/>
      <c r="AA146" s="6" t="s">
        <v>710</v>
      </c>
    </row>
    <row r="147" spans="1:27" s="4" customFormat="1" ht="42" customHeight="1">
      <c r="A147" s="5">
        <v>0</v>
      </c>
      <c r="B147" s="6" t="s">
        <v>1000</v>
      </c>
      <c r="C147" s="13">
        <v>970</v>
      </c>
      <c r="D147" s="8" t="s">
        <v>1001</v>
      </c>
      <c r="E147" s="8" t="s">
        <v>1002</v>
      </c>
      <c r="F147" s="8" t="s">
        <v>1003</v>
      </c>
      <c r="G147" s="6" t="s">
        <v>53</v>
      </c>
      <c r="H147" s="6" t="s">
        <v>67</v>
      </c>
      <c r="I147" s="8" t="s">
        <v>106</v>
      </c>
      <c r="J147" s="9">
        <v>1</v>
      </c>
      <c r="K147" s="9">
        <v>211</v>
      </c>
      <c r="L147" s="9">
        <v>2024</v>
      </c>
      <c r="M147" s="8" t="s">
        <v>1004</v>
      </c>
      <c r="N147" s="8" t="s">
        <v>41</v>
      </c>
      <c r="O147" s="8" t="s">
        <v>42</v>
      </c>
      <c r="P147" s="6" t="s">
        <v>110</v>
      </c>
      <c r="Q147" s="8" t="s">
        <v>111</v>
      </c>
      <c r="R147" s="10" t="s">
        <v>258</v>
      </c>
      <c r="S147" s="11"/>
      <c r="T147" s="6"/>
      <c r="U147" s="28" t="str">
        <f>HYPERLINK("https://media.infra-m.ru/2105/2105792/cover/2105792.jpg", "Обложка")</f>
        <v>Обложка</v>
      </c>
      <c r="V147" s="28" t="str">
        <f>HYPERLINK("https://znanium.ru/catalog/product/2105792", "Ознакомиться")</f>
        <v>Ознакомиться</v>
      </c>
      <c r="W147" s="8" t="s">
        <v>369</v>
      </c>
      <c r="X147" s="6"/>
      <c r="Y147" s="6"/>
      <c r="Z147" s="6"/>
      <c r="AA147" s="6" t="s">
        <v>126</v>
      </c>
    </row>
    <row r="148" spans="1:27" s="4" customFormat="1" ht="42" customHeight="1">
      <c r="A148" s="5">
        <v>0</v>
      </c>
      <c r="B148" s="6" t="s">
        <v>1005</v>
      </c>
      <c r="C148" s="7">
        <v>1294.9000000000001</v>
      </c>
      <c r="D148" s="8" t="s">
        <v>1006</v>
      </c>
      <c r="E148" s="8" t="s">
        <v>1007</v>
      </c>
      <c r="F148" s="8" t="s">
        <v>1008</v>
      </c>
      <c r="G148" s="6" t="s">
        <v>37</v>
      </c>
      <c r="H148" s="6" t="s">
        <v>67</v>
      </c>
      <c r="I148" s="8"/>
      <c r="J148" s="9">
        <v>1</v>
      </c>
      <c r="K148" s="9">
        <v>288</v>
      </c>
      <c r="L148" s="9">
        <v>2023</v>
      </c>
      <c r="M148" s="8" t="s">
        <v>1009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258</v>
      </c>
      <c r="S148" s="11"/>
      <c r="T148" s="6" t="s">
        <v>59</v>
      </c>
      <c r="U148" s="28" t="str">
        <f>HYPERLINK("https://media.infra-m.ru/1894/1894505/cover/1894505.jpg", "Обложка")</f>
        <v>Обложка</v>
      </c>
      <c r="V148" s="28" t="str">
        <f>HYPERLINK("https://znanium.ru/catalog/product/1839663", "Ознакомиться")</f>
        <v>Ознакомиться</v>
      </c>
      <c r="W148" s="8" t="s">
        <v>999</v>
      </c>
      <c r="X148" s="6"/>
      <c r="Y148" s="6"/>
      <c r="Z148" s="6"/>
      <c r="AA148" s="6" t="s">
        <v>354</v>
      </c>
    </row>
    <row r="149" spans="1:27" s="4" customFormat="1" ht="51.95" customHeight="1">
      <c r="A149" s="5">
        <v>0</v>
      </c>
      <c r="B149" s="6" t="s">
        <v>1010</v>
      </c>
      <c r="C149" s="7">
        <v>1064</v>
      </c>
      <c r="D149" s="8" t="s">
        <v>1011</v>
      </c>
      <c r="E149" s="8" t="s">
        <v>1012</v>
      </c>
      <c r="F149" s="8" t="s">
        <v>845</v>
      </c>
      <c r="G149" s="6" t="s">
        <v>66</v>
      </c>
      <c r="H149" s="6" t="s">
        <v>67</v>
      </c>
      <c r="I149" s="8" t="s">
        <v>880</v>
      </c>
      <c r="J149" s="9">
        <v>1</v>
      </c>
      <c r="K149" s="9">
        <v>226</v>
      </c>
      <c r="L149" s="9">
        <v>2024</v>
      </c>
      <c r="M149" s="8" t="s">
        <v>1013</v>
      </c>
      <c r="N149" s="8" t="s">
        <v>41</v>
      </c>
      <c r="O149" s="8" t="s">
        <v>42</v>
      </c>
      <c r="P149" s="6" t="s">
        <v>43</v>
      </c>
      <c r="Q149" s="8" t="s">
        <v>44</v>
      </c>
      <c r="R149" s="10" t="s">
        <v>258</v>
      </c>
      <c r="S149" s="11" t="s">
        <v>1014</v>
      </c>
      <c r="T149" s="6"/>
      <c r="U149" s="28" t="str">
        <f>HYPERLINK("https://media.infra-m.ru/2095/2095598/cover/2095598.jpg", "Обложка")</f>
        <v>Обложка</v>
      </c>
      <c r="V149" s="28" t="str">
        <f>HYPERLINK("https://znanium.ru/catalog/product/1894750", "Ознакомиться")</f>
        <v>Ознакомиться</v>
      </c>
      <c r="W149" s="8" t="s">
        <v>849</v>
      </c>
      <c r="X149" s="6"/>
      <c r="Y149" s="6"/>
      <c r="Z149" s="6"/>
      <c r="AA149" s="6" t="s">
        <v>101</v>
      </c>
    </row>
    <row r="150" spans="1:27" s="4" customFormat="1" ht="51.95" customHeight="1">
      <c r="A150" s="5">
        <v>0</v>
      </c>
      <c r="B150" s="6" t="s">
        <v>1015</v>
      </c>
      <c r="C150" s="7">
        <v>1674</v>
      </c>
      <c r="D150" s="8" t="s">
        <v>1016</v>
      </c>
      <c r="E150" s="8" t="s">
        <v>1017</v>
      </c>
      <c r="F150" s="8" t="s">
        <v>1018</v>
      </c>
      <c r="G150" s="6" t="s">
        <v>66</v>
      </c>
      <c r="H150" s="6" t="s">
        <v>67</v>
      </c>
      <c r="I150" s="8" t="s">
        <v>68</v>
      </c>
      <c r="J150" s="9">
        <v>1</v>
      </c>
      <c r="K150" s="9">
        <v>352</v>
      </c>
      <c r="L150" s="9">
        <v>2024</v>
      </c>
      <c r="M150" s="8" t="s">
        <v>1019</v>
      </c>
      <c r="N150" s="8" t="s">
        <v>41</v>
      </c>
      <c r="O150" s="8" t="s">
        <v>42</v>
      </c>
      <c r="P150" s="6" t="s">
        <v>43</v>
      </c>
      <c r="Q150" s="8" t="s">
        <v>71</v>
      </c>
      <c r="R150" s="10" t="s">
        <v>1020</v>
      </c>
      <c r="S150" s="11" t="s">
        <v>1021</v>
      </c>
      <c r="T150" s="6"/>
      <c r="U150" s="28" t="str">
        <f>HYPERLINK("https://media.infra-m.ru/2149/2149188/cover/2149188.jpg", "Обложка")</f>
        <v>Обложка</v>
      </c>
      <c r="V150" s="28" t="str">
        <f>HYPERLINK("https://znanium.ru/catalog/product/1880922", "Ознакомиться")</f>
        <v>Ознакомиться</v>
      </c>
      <c r="W150" s="8" t="s">
        <v>140</v>
      </c>
      <c r="X150" s="6"/>
      <c r="Y150" s="6"/>
      <c r="Z150" s="6"/>
      <c r="AA150" s="6" t="s">
        <v>340</v>
      </c>
    </row>
    <row r="151" spans="1:27" s="4" customFormat="1" ht="42" customHeight="1">
      <c r="A151" s="5">
        <v>0</v>
      </c>
      <c r="B151" s="6" t="s">
        <v>1022</v>
      </c>
      <c r="C151" s="7">
        <v>1820</v>
      </c>
      <c r="D151" s="8" t="s">
        <v>1023</v>
      </c>
      <c r="E151" s="8" t="s">
        <v>1024</v>
      </c>
      <c r="F151" s="8" t="s">
        <v>1025</v>
      </c>
      <c r="G151" s="6" t="s">
        <v>66</v>
      </c>
      <c r="H151" s="6" t="s">
        <v>67</v>
      </c>
      <c r="I151" s="8" t="s">
        <v>106</v>
      </c>
      <c r="J151" s="9">
        <v>1</v>
      </c>
      <c r="K151" s="9">
        <v>395</v>
      </c>
      <c r="L151" s="9">
        <v>2024</v>
      </c>
      <c r="M151" s="8" t="s">
        <v>1026</v>
      </c>
      <c r="N151" s="8" t="s">
        <v>41</v>
      </c>
      <c r="O151" s="8" t="s">
        <v>42</v>
      </c>
      <c r="P151" s="6" t="s">
        <v>110</v>
      </c>
      <c r="Q151" s="8" t="s">
        <v>111</v>
      </c>
      <c r="R151" s="10" t="s">
        <v>478</v>
      </c>
      <c r="S151" s="11"/>
      <c r="T151" s="6"/>
      <c r="U151" s="28" t="str">
        <f>HYPERLINK("https://media.infra-m.ru/2111/2111784/cover/2111784.jpg", "Обложка")</f>
        <v>Обложка</v>
      </c>
      <c r="V151" s="28" t="str">
        <f>HYPERLINK("https://znanium.ru/catalog/product/2111784", "Ознакомиться")</f>
        <v>Ознакомиться</v>
      </c>
      <c r="W151" s="8"/>
      <c r="X151" s="6"/>
      <c r="Y151" s="6"/>
      <c r="Z151" s="6"/>
      <c r="AA151" s="6" t="s">
        <v>101</v>
      </c>
    </row>
    <row r="152" spans="1:27" s="4" customFormat="1" ht="42" customHeight="1">
      <c r="A152" s="5">
        <v>0</v>
      </c>
      <c r="B152" s="6" t="s">
        <v>1027</v>
      </c>
      <c r="C152" s="7">
        <v>1214</v>
      </c>
      <c r="D152" s="8" t="s">
        <v>1028</v>
      </c>
      <c r="E152" s="8" t="s">
        <v>1029</v>
      </c>
      <c r="F152" s="8" t="s">
        <v>1030</v>
      </c>
      <c r="G152" s="6" t="s">
        <v>66</v>
      </c>
      <c r="H152" s="6" t="s">
        <v>67</v>
      </c>
      <c r="I152" s="8" t="s">
        <v>106</v>
      </c>
      <c r="J152" s="9">
        <v>1</v>
      </c>
      <c r="K152" s="9">
        <v>258</v>
      </c>
      <c r="L152" s="9">
        <v>2024</v>
      </c>
      <c r="M152" s="8" t="s">
        <v>1031</v>
      </c>
      <c r="N152" s="8" t="s">
        <v>41</v>
      </c>
      <c r="O152" s="8" t="s">
        <v>42</v>
      </c>
      <c r="P152" s="6" t="s">
        <v>110</v>
      </c>
      <c r="Q152" s="8" t="s">
        <v>111</v>
      </c>
      <c r="R152" s="10" t="s">
        <v>330</v>
      </c>
      <c r="S152" s="11"/>
      <c r="T152" s="6"/>
      <c r="U152" s="28" t="str">
        <f>HYPERLINK("https://media.infra-m.ru/2152/2152118/cover/2152118.jpg", "Обложка")</f>
        <v>Обложка</v>
      </c>
      <c r="V152" s="28" t="str">
        <f>HYPERLINK("https://znanium.ru/catalog/product/1039245", "Ознакомиться")</f>
        <v>Ознакомиться</v>
      </c>
      <c r="W152" s="8" t="s">
        <v>369</v>
      </c>
      <c r="X152" s="6"/>
      <c r="Y152" s="6"/>
      <c r="Z152" s="6"/>
      <c r="AA152" s="6" t="s">
        <v>190</v>
      </c>
    </row>
    <row r="153" spans="1:27" s="4" customFormat="1" ht="51.95" customHeight="1">
      <c r="A153" s="5">
        <v>0</v>
      </c>
      <c r="B153" s="6" t="s">
        <v>1032</v>
      </c>
      <c r="C153" s="13">
        <v>820</v>
      </c>
      <c r="D153" s="8" t="s">
        <v>1033</v>
      </c>
      <c r="E153" s="8" t="s">
        <v>1034</v>
      </c>
      <c r="F153" s="8" t="s">
        <v>872</v>
      </c>
      <c r="G153" s="6" t="s">
        <v>53</v>
      </c>
      <c r="H153" s="6" t="s">
        <v>173</v>
      </c>
      <c r="I153" s="8" t="s">
        <v>39</v>
      </c>
      <c r="J153" s="9">
        <v>1</v>
      </c>
      <c r="K153" s="9">
        <v>160</v>
      </c>
      <c r="L153" s="9">
        <v>2023</v>
      </c>
      <c r="M153" s="8" t="s">
        <v>1035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739</v>
      </c>
      <c r="S153" s="11" t="s">
        <v>1036</v>
      </c>
      <c r="T153" s="6"/>
      <c r="U153" s="28" t="str">
        <f>HYPERLINK("https://media.infra-m.ru/1903/1903730/cover/1903730.jpg", "Обложка")</f>
        <v>Обложка</v>
      </c>
      <c r="V153" s="28" t="str">
        <f>HYPERLINK("https://znanium.ru/catalog/product/1903730", "Ознакомиться")</f>
        <v>Ознакомиться</v>
      </c>
      <c r="W153" s="8" t="s">
        <v>176</v>
      </c>
      <c r="X153" s="6"/>
      <c r="Y153" s="6"/>
      <c r="Z153" s="6"/>
      <c r="AA153" s="6" t="s">
        <v>157</v>
      </c>
    </row>
    <row r="154" spans="1:27" s="4" customFormat="1" ht="42" customHeight="1">
      <c r="A154" s="5">
        <v>0</v>
      </c>
      <c r="B154" s="6" t="s">
        <v>1037</v>
      </c>
      <c r="C154" s="7">
        <v>1474</v>
      </c>
      <c r="D154" s="8" t="s">
        <v>1038</v>
      </c>
      <c r="E154" s="8" t="s">
        <v>1039</v>
      </c>
      <c r="F154" s="8" t="s">
        <v>1040</v>
      </c>
      <c r="G154" s="6" t="s">
        <v>53</v>
      </c>
      <c r="H154" s="6" t="s">
        <v>67</v>
      </c>
      <c r="I154" s="8" t="s">
        <v>106</v>
      </c>
      <c r="J154" s="9">
        <v>1</v>
      </c>
      <c r="K154" s="9">
        <v>320</v>
      </c>
      <c r="L154" s="9">
        <v>2024</v>
      </c>
      <c r="M154" s="8" t="s">
        <v>1041</v>
      </c>
      <c r="N154" s="8" t="s">
        <v>41</v>
      </c>
      <c r="O154" s="8" t="s">
        <v>42</v>
      </c>
      <c r="P154" s="6" t="s">
        <v>110</v>
      </c>
      <c r="Q154" s="8" t="s">
        <v>111</v>
      </c>
      <c r="R154" s="10" t="s">
        <v>1042</v>
      </c>
      <c r="S154" s="11"/>
      <c r="T154" s="6" t="s">
        <v>59</v>
      </c>
      <c r="U154" s="28" t="str">
        <f>HYPERLINK("https://media.infra-m.ru/2129/2129967/cover/2129967.jpg", "Обложка")</f>
        <v>Обложка</v>
      </c>
      <c r="V154" s="28" t="str">
        <f>HYPERLINK("https://znanium.ru/catalog/product/1082947", "Ознакомиться")</f>
        <v>Ознакомиться</v>
      </c>
      <c r="W154" s="8" t="s">
        <v>1043</v>
      </c>
      <c r="X154" s="6"/>
      <c r="Y154" s="6"/>
      <c r="Z154" s="6"/>
      <c r="AA154" s="6" t="s">
        <v>236</v>
      </c>
    </row>
    <row r="155" spans="1:27" s="4" customFormat="1" ht="51.95" customHeight="1">
      <c r="A155" s="5">
        <v>0</v>
      </c>
      <c r="B155" s="6" t="s">
        <v>1044</v>
      </c>
      <c r="C155" s="13">
        <v>314.89999999999998</v>
      </c>
      <c r="D155" s="8" t="s">
        <v>1045</v>
      </c>
      <c r="E155" s="8" t="s">
        <v>1046</v>
      </c>
      <c r="F155" s="8" t="s">
        <v>1047</v>
      </c>
      <c r="G155" s="6" t="s">
        <v>53</v>
      </c>
      <c r="H155" s="6" t="s">
        <v>67</v>
      </c>
      <c r="I155" s="8" t="s">
        <v>106</v>
      </c>
      <c r="J155" s="9">
        <v>1</v>
      </c>
      <c r="K155" s="9">
        <v>96</v>
      </c>
      <c r="L155" s="9">
        <v>2018</v>
      </c>
      <c r="M155" s="8" t="s">
        <v>1048</v>
      </c>
      <c r="N155" s="8" t="s">
        <v>121</v>
      </c>
      <c r="O155" s="8" t="s">
        <v>122</v>
      </c>
      <c r="P155" s="6" t="s">
        <v>110</v>
      </c>
      <c r="Q155" s="8" t="s">
        <v>111</v>
      </c>
      <c r="R155" s="10" t="s">
        <v>1049</v>
      </c>
      <c r="S155" s="11"/>
      <c r="T155" s="6"/>
      <c r="U155" s="28" t="str">
        <f>HYPERLINK("https://media.infra-m.ru/0959/0959976/cover/959976.jpg", "Обложка")</f>
        <v>Обложка</v>
      </c>
      <c r="V155" s="28" t="str">
        <f>HYPERLINK("https://znanium.ru/catalog/product/959976", "Ознакомиться")</f>
        <v>Ознакомиться</v>
      </c>
      <c r="W155" s="8" t="s">
        <v>786</v>
      </c>
      <c r="X155" s="6"/>
      <c r="Y155" s="6"/>
      <c r="Z155" s="6"/>
      <c r="AA155" s="6" t="s">
        <v>710</v>
      </c>
    </row>
    <row r="156" spans="1:27" s="4" customFormat="1" ht="51.95" customHeight="1">
      <c r="A156" s="5">
        <v>0</v>
      </c>
      <c r="B156" s="6" t="s">
        <v>1050</v>
      </c>
      <c r="C156" s="7">
        <v>1014</v>
      </c>
      <c r="D156" s="8" t="s">
        <v>1051</v>
      </c>
      <c r="E156" s="8" t="s">
        <v>1052</v>
      </c>
      <c r="F156" s="8" t="s">
        <v>1053</v>
      </c>
      <c r="G156" s="6" t="s">
        <v>66</v>
      </c>
      <c r="H156" s="6" t="s">
        <v>67</v>
      </c>
      <c r="I156" s="8" t="s">
        <v>95</v>
      </c>
      <c r="J156" s="9">
        <v>1</v>
      </c>
      <c r="K156" s="9">
        <v>191</v>
      </c>
      <c r="L156" s="9">
        <v>2024</v>
      </c>
      <c r="M156" s="8" t="s">
        <v>1054</v>
      </c>
      <c r="N156" s="8" t="s">
        <v>41</v>
      </c>
      <c r="O156" s="8" t="s">
        <v>42</v>
      </c>
      <c r="P156" s="6" t="s">
        <v>43</v>
      </c>
      <c r="Q156" s="8" t="s">
        <v>97</v>
      </c>
      <c r="R156" s="10" t="s">
        <v>258</v>
      </c>
      <c r="S156" s="11" t="s">
        <v>1055</v>
      </c>
      <c r="T156" s="6"/>
      <c r="U156" s="28" t="str">
        <f>HYPERLINK("https://media.infra-m.ru/2103/2103709/cover/2103709.jpg", "Обложка")</f>
        <v>Обложка</v>
      </c>
      <c r="V156" s="28" t="str">
        <f>HYPERLINK("https://znanium.ru/catalog/product/1068771", "Ознакомиться")</f>
        <v>Ознакомиться</v>
      </c>
      <c r="W156" s="8" t="s">
        <v>1056</v>
      </c>
      <c r="X156" s="6"/>
      <c r="Y156" s="6"/>
      <c r="Z156" s="6"/>
      <c r="AA156" s="6" t="s">
        <v>126</v>
      </c>
    </row>
    <row r="157" spans="1:27" s="4" customFormat="1" ht="51.95" customHeight="1">
      <c r="A157" s="5">
        <v>0</v>
      </c>
      <c r="B157" s="6" t="s">
        <v>1057</v>
      </c>
      <c r="C157" s="7">
        <v>1040</v>
      </c>
      <c r="D157" s="8" t="s">
        <v>1058</v>
      </c>
      <c r="E157" s="8" t="s">
        <v>1059</v>
      </c>
      <c r="F157" s="8" t="s">
        <v>1060</v>
      </c>
      <c r="G157" s="6" t="s">
        <v>66</v>
      </c>
      <c r="H157" s="6" t="s">
        <v>67</v>
      </c>
      <c r="I157" s="8" t="s">
        <v>54</v>
      </c>
      <c r="J157" s="9">
        <v>1</v>
      </c>
      <c r="K157" s="9">
        <v>224</v>
      </c>
      <c r="L157" s="9">
        <v>2024</v>
      </c>
      <c r="M157" s="8" t="s">
        <v>1061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258</v>
      </c>
      <c r="S157" s="11" t="s">
        <v>1062</v>
      </c>
      <c r="T157" s="6"/>
      <c r="U157" s="28" t="str">
        <f>HYPERLINK("https://media.infra-m.ru/2104/2104276/cover/2104276.jpg", "Обложка")</f>
        <v>Обложка</v>
      </c>
      <c r="V157" s="28" t="str">
        <f>HYPERLINK("https://znanium.ru/catalog/product/2104276", "Ознакомиться")</f>
        <v>Ознакомиться</v>
      </c>
      <c r="W157" s="8" t="s">
        <v>100</v>
      </c>
      <c r="X157" s="6"/>
      <c r="Y157" s="6"/>
      <c r="Z157" s="6"/>
      <c r="AA157" s="6" t="s">
        <v>340</v>
      </c>
    </row>
    <row r="158" spans="1:27" s="4" customFormat="1" ht="51.95" customHeight="1">
      <c r="A158" s="5">
        <v>0</v>
      </c>
      <c r="B158" s="6" t="s">
        <v>1063</v>
      </c>
      <c r="C158" s="7">
        <v>1004.9</v>
      </c>
      <c r="D158" s="8" t="s">
        <v>1064</v>
      </c>
      <c r="E158" s="8" t="s">
        <v>1059</v>
      </c>
      <c r="F158" s="8" t="s">
        <v>1065</v>
      </c>
      <c r="G158" s="6" t="s">
        <v>66</v>
      </c>
      <c r="H158" s="6" t="s">
        <v>67</v>
      </c>
      <c r="I158" s="8" t="s">
        <v>68</v>
      </c>
      <c r="J158" s="9">
        <v>1</v>
      </c>
      <c r="K158" s="9">
        <v>224</v>
      </c>
      <c r="L158" s="9">
        <v>2023</v>
      </c>
      <c r="M158" s="8" t="s">
        <v>1066</v>
      </c>
      <c r="N158" s="8" t="s">
        <v>41</v>
      </c>
      <c r="O158" s="8" t="s">
        <v>42</v>
      </c>
      <c r="P158" s="6" t="s">
        <v>43</v>
      </c>
      <c r="Q158" s="8" t="s">
        <v>71</v>
      </c>
      <c r="R158" s="10" t="s">
        <v>764</v>
      </c>
      <c r="S158" s="11" t="s">
        <v>1067</v>
      </c>
      <c r="T158" s="6"/>
      <c r="U158" s="28" t="str">
        <f>HYPERLINK("https://media.infra-m.ru/1976/1976160/cover/1976160.jpg", "Обложка")</f>
        <v>Обложка</v>
      </c>
      <c r="V158" s="28" t="str">
        <f>HYPERLINK("https://znanium.ru/catalog/product/1091684", "Ознакомиться")</f>
        <v>Ознакомиться</v>
      </c>
      <c r="W158" s="8" t="s">
        <v>100</v>
      </c>
      <c r="X158" s="6"/>
      <c r="Y158" s="6"/>
      <c r="Z158" s="6" t="s">
        <v>132</v>
      </c>
      <c r="AA158" s="6" t="s">
        <v>126</v>
      </c>
    </row>
    <row r="159" spans="1:27" s="4" customFormat="1" ht="51.95" customHeight="1">
      <c r="A159" s="5">
        <v>0</v>
      </c>
      <c r="B159" s="6" t="s">
        <v>1068</v>
      </c>
      <c r="C159" s="13">
        <v>974</v>
      </c>
      <c r="D159" s="8" t="s">
        <v>1069</v>
      </c>
      <c r="E159" s="8" t="s">
        <v>1070</v>
      </c>
      <c r="F159" s="8" t="s">
        <v>1071</v>
      </c>
      <c r="G159" s="6" t="s">
        <v>66</v>
      </c>
      <c r="H159" s="6" t="s">
        <v>67</v>
      </c>
      <c r="I159" s="8" t="s">
        <v>68</v>
      </c>
      <c r="J159" s="9">
        <v>1</v>
      </c>
      <c r="K159" s="9">
        <v>208</v>
      </c>
      <c r="L159" s="9">
        <v>2024</v>
      </c>
      <c r="M159" s="8" t="s">
        <v>1072</v>
      </c>
      <c r="N159" s="8" t="s">
        <v>41</v>
      </c>
      <c r="O159" s="8" t="s">
        <v>42</v>
      </c>
      <c r="P159" s="6" t="s">
        <v>70</v>
      </c>
      <c r="Q159" s="8" t="s">
        <v>71</v>
      </c>
      <c r="R159" s="10" t="s">
        <v>1073</v>
      </c>
      <c r="S159" s="11" t="s">
        <v>1074</v>
      </c>
      <c r="T159" s="6"/>
      <c r="U159" s="28" t="str">
        <f>HYPERLINK("https://media.infra-m.ru/2138/2138045/cover/2138045.jpg", "Обложка")</f>
        <v>Обложка</v>
      </c>
      <c r="V159" s="28" t="str">
        <f>HYPERLINK("https://znanium.ru/catalog/product/1900985", "Ознакомиться")</f>
        <v>Ознакомиться</v>
      </c>
      <c r="W159" s="8" t="s">
        <v>100</v>
      </c>
      <c r="X159" s="6"/>
      <c r="Y159" s="6"/>
      <c r="Z159" s="6"/>
      <c r="AA159" s="6" t="s">
        <v>1075</v>
      </c>
    </row>
    <row r="160" spans="1:27" s="4" customFormat="1" ht="51.95" customHeight="1">
      <c r="A160" s="5">
        <v>0</v>
      </c>
      <c r="B160" s="6" t="s">
        <v>1076</v>
      </c>
      <c r="C160" s="13">
        <v>980</v>
      </c>
      <c r="D160" s="8" t="s">
        <v>1077</v>
      </c>
      <c r="E160" s="8" t="s">
        <v>1070</v>
      </c>
      <c r="F160" s="8" t="s">
        <v>1071</v>
      </c>
      <c r="G160" s="6" t="s">
        <v>66</v>
      </c>
      <c r="H160" s="6" t="s">
        <v>67</v>
      </c>
      <c r="I160" s="8" t="s">
        <v>54</v>
      </c>
      <c r="J160" s="9">
        <v>1</v>
      </c>
      <c r="K160" s="9">
        <v>208</v>
      </c>
      <c r="L160" s="9">
        <v>2024</v>
      </c>
      <c r="M160" s="8" t="s">
        <v>1078</v>
      </c>
      <c r="N160" s="8" t="s">
        <v>41</v>
      </c>
      <c r="O160" s="8" t="s">
        <v>42</v>
      </c>
      <c r="P160" s="6" t="s">
        <v>70</v>
      </c>
      <c r="Q160" s="8" t="s">
        <v>56</v>
      </c>
      <c r="R160" s="10" t="s">
        <v>1079</v>
      </c>
      <c r="S160" s="11" t="s">
        <v>1080</v>
      </c>
      <c r="T160" s="6"/>
      <c r="U160" s="28" t="str">
        <f>HYPERLINK("https://media.infra-m.ru/2144/2144237/cover/2144237.jpg", "Обложка")</f>
        <v>Обложка</v>
      </c>
      <c r="V160" s="28" t="str">
        <f>HYPERLINK("https://znanium.ru/catalog/product/2144237", "Ознакомиться")</f>
        <v>Ознакомиться</v>
      </c>
      <c r="W160" s="8" t="s">
        <v>100</v>
      </c>
      <c r="X160" s="6"/>
      <c r="Y160" s="6"/>
      <c r="Z160" s="6" t="s">
        <v>1081</v>
      </c>
      <c r="AA160" s="6" t="s">
        <v>101</v>
      </c>
    </row>
    <row r="161" spans="1:27" s="4" customFormat="1" ht="51.95" customHeight="1">
      <c r="A161" s="5">
        <v>0</v>
      </c>
      <c r="B161" s="6" t="s">
        <v>1082</v>
      </c>
      <c r="C161" s="7">
        <v>1120</v>
      </c>
      <c r="D161" s="8" t="s">
        <v>1083</v>
      </c>
      <c r="E161" s="8" t="s">
        <v>1084</v>
      </c>
      <c r="F161" s="8" t="s">
        <v>707</v>
      </c>
      <c r="G161" s="6" t="s">
        <v>66</v>
      </c>
      <c r="H161" s="6" t="s">
        <v>67</v>
      </c>
      <c r="I161" s="8" t="s">
        <v>68</v>
      </c>
      <c r="J161" s="9">
        <v>1</v>
      </c>
      <c r="K161" s="9">
        <v>238</v>
      </c>
      <c r="L161" s="9">
        <v>2024</v>
      </c>
      <c r="M161" s="8" t="s">
        <v>1085</v>
      </c>
      <c r="N161" s="8" t="s">
        <v>41</v>
      </c>
      <c r="O161" s="8" t="s">
        <v>42</v>
      </c>
      <c r="P161" s="6" t="s">
        <v>43</v>
      </c>
      <c r="Q161" s="8" t="s">
        <v>71</v>
      </c>
      <c r="R161" s="10" t="s">
        <v>1086</v>
      </c>
      <c r="S161" s="11" t="s">
        <v>1087</v>
      </c>
      <c r="T161" s="6"/>
      <c r="U161" s="28" t="str">
        <f>HYPERLINK("https://media.infra-m.ru/2048/2048136/cover/2048136.jpg", "Обложка")</f>
        <v>Обложка</v>
      </c>
      <c r="V161" s="28" t="str">
        <f>HYPERLINK("https://znanium.ru/catalog/product/2048136", "Ознакомиться")</f>
        <v>Ознакомиться</v>
      </c>
      <c r="W161" s="8" t="s">
        <v>625</v>
      </c>
      <c r="X161" s="6"/>
      <c r="Y161" s="6"/>
      <c r="Z161" s="6"/>
      <c r="AA161" s="6" t="s">
        <v>340</v>
      </c>
    </row>
    <row r="162" spans="1:27" s="4" customFormat="1" ht="51.95" customHeight="1">
      <c r="A162" s="5">
        <v>0</v>
      </c>
      <c r="B162" s="6" t="s">
        <v>1088</v>
      </c>
      <c r="C162" s="13">
        <v>650</v>
      </c>
      <c r="D162" s="8" t="s">
        <v>1089</v>
      </c>
      <c r="E162" s="8" t="s">
        <v>1090</v>
      </c>
      <c r="F162" s="8" t="s">
        <v>1091</v>
      </c>
      <c r="G162" s="6" t="s">
        <v>53</v>
      </c>
      <c r="H162" s="6" t="s">
        <v>283</v>
      </c>
      <c r="I162" s="8" t="s">
        <v>54</v>
      </c>
      <c r="J162" s="9">
        <v>1</v>
      </c>
      <c r="K162" s="9">
        <v>112</v>
      </c>
      <c r="L162" s="9">
        <v>2023</v>
      </c>
      <c r="M162" s="8" t="s">
        <v>1092</v>
      </c>
      <c r="N162" s="8" t="s">
        <v>108</v>
      </c>
      <c r="O162" s="8" t="s">
        <v>109</v>
      </c>
      <c r="P162" s="6" t="s">
        <v>43</v>
      </c>
      <c r="Q162" s="8" t="s">
        <v>56</v>
      </c>
      <c r="R162" s="10" t="s">
        <v>1093</v>
      </c>
      <c r="S162" s="11" t="s">
        <v>1094</v>
      </c>
      <c r="T162" s="6"/>
      <c r="U162" s="28" t="str">
        <f>HYPERLINK("https://media.infra-m.ru/1995/1995390/cover/1995390.jpg", "Обложка")</f>
        <v>Обложка</v>
      </c>
      <c r="V162" s="28" t="str">
        <f>HYPERLINK("https://znanium.ru/catalog/product/1995390", "Ознакомиться")</f>
        <v>Ознакомиться</v>
      </c>
      <c r="W162" s="8" t="s">
        <v>288</v>
      </c>
      <c r="X162" s="6"/>
      <c r="Y162" s="6"/>
      <c r="Z162" s="6"/>
      <c r="AA162" s="6" t="s">
        <v>710</v>
      </c>
    </row>
    <row r="163" spans="1:27" s="4" customFormat="1" ht="51.95" customHeight="1">
      <c r="A163" s="5">
        <v>0</v>
      </c>
      <c r="B163" s="6" t="s">
        <v>1095</v>
      </c>
      <c r="C163" s="7">
        <v>1254</v>
      </c>
      <c r="D163" s="8" t="s">
        <v>1096</v>
      </c>
      <c r="E163" s="8" t="s">
        <v>1097</v>
      </c>
      <c r="F163" s="8" t="s">
        <v>1098</v>
      </c>
      <c r="G163" s="6" t="s">
        <v>37</v>
      </c>
      <c r="H163" s="6" t="s">
        <v>1099</v>
      </c>
      <c r="I163" s="8"/>
      <c r="J163" s="9">
        <v>1</v>
      </c>
      <c r="K163" s="9">
        <v>272</v>
      </c>
      <c r="L163" s="9">
        <v>2024</v>
      </c>
      <c r="M163" s="8" t="s">
        <v>1100</v>
      </c>
      <c r="N163" s="8" t="s">
        <v>121</v>
      </c>
      <c r="O163" s="8" t="s">
        <v>122</v>
      </c>
      <c r="P163" s="6" t="s">
        <v>110</v>
      </c>
      <c r="Q163" s="8" t="s">
        <v>111</v>
      </c>
      <c r="R163" s="10" t="s">
        <v>1101</v>
      </c>
      <c r="S163" s="11"/>
      <c r="T163" s="6"/>
      <c r="U163" s="28" t="str">
        <f>HYPERLINK("https://media.infra-m.ru/2084/2084570/cover/2084570.jpg", "Обложка")</f>
        <v>Обложка</v>
      </c>
      <c r="V163" s="28" t="str">
        <f>HYPERLINK("https://znanium.ru/catalog/product/1850643", "Ознакомиться")</f>
        <v>Ознакомиться</v>
      </c>
      <c r="W163" s="8" t="s">
        <v>1102</v>
      </c>
      <c r="X163" s="6"/>
      <c r="Y163" s="6"/>
      <c r="Z163" s="6"/>
      <c r="AA163" s="6" t="s">
        <v>289</v>
      </c>
    </row>
    <row r="164" spans="1:27" s="4" customFormat="1" ht="51.95" customHeight="1">
      <c r="A164" s="5">
        <v>0</v>
      </c>
      <c r="B164" s="6" t="s">
        <v>1103</v>
      </c>
      <c r="C164" s="7">
        <v>1800</v>
      </c>
      <c r="D164" s="8" t="s">
        <v>1104</v>
      </c>
      <c r="E164" s="8" t="s">
        <v>1105</v>
      </c>
      <c r="F164" s="8" t="s">
        <v>1106</v>
      </c>
      <c r="G164" s="6" t="s">
        <v>37</v>
      </c>
      <c r="H164" s="6" t="s">
        <v>67</v>
      </c>
      <c r="I164" s="8" t="s">
        <v>1107</v>
      </c>
      <c r="J164" s="9">
        <v>1</v>
      </c>
      <c r="K164" s="9">
        <v>376</v>
      </c>
      <c r="L164" s="9">
        <v>2023</v>
      </c>
      <c r="M164" s="8" t="s">
        <v>1108</v>
      </c>
      <c r="N164" s="8" t="s">
        <v>108</v>
      </c>
      <c r="O164" s="8" t="s">
        <v>109</v>
      </c>
      <c r="P164" s="6" t="s">
        <v>43</v>
      </c>
      <c r="Q164" s="8" t="s">
        <v>44</v>
      </c>
      <c r="R164" s="10" t="s">
        <v>1109</v>
      </c>
      <c r="S164" s="11" t="s">
        <v>1110</v>
      </c>
      <c r="T164" s="6"/>
      <c r="U164" s="28" t="str">
        <f>HYPERLINK("https://media.infra-m.ru/1910/1910646/cover/1910646.jpg", "Обложка")</f>
        <v>Обложка</v>
      </c>
      <c r="V164" s="28" t="str">
        <f>HYPERLINK("https://znanium.ru/catalog/product/1910646", "Ознакомиться")</f>
        <v>Ознакомиться</v>
      </c>
      <c r="W164" s="8" t="s">
        <v>1111</v>
      </c>
      <c r="X164" s="6"/>
      <c r="Y164" s="6"/>
      <c r="Z164" s="6"/>
      <c r="AA164" s="6" t="s">
        <v>115</v>
      </c>
    </row>
    <row r="165" spans="1:27" s="4" customFormat="1" ht="51.95" customHeight="1">
      <c r="A165" s="5">
        <v>0</v>
      </c>
      <c r="B165" s="6" t="s">
        <v>1112</v>
      </c>
      <c r="C165" s="7">
        <v>1174</v>
      </c>
      <c r="D165" s="8" t="s">
        <v>1113</v>
      </c>
      <c r="E165" s="8" t="s">
        <v>1114</v>
      </c>
      <c r="F165" s="8" t="s">
        <v>1115</v>
      </c>
      <c r="G165" s="6" t="s">
        <v>66</v>
      </c>
      <c r="H165" s="6" t="s">
        <v>67</v>
      </c>
      <c r="I165" s="8" t="s">
        <v>68</v>
      </c>
      <c r="J165" s="9">
        <v>1</v>
      </c>
      <c r="K165" s="9">
        <v>249</v>
      </c>
      <c r="L165" s="9">
        <v>2024</v>
      </c>
      <c r="M165" s="8" t="s">
        <v>1116</v>
      </c>
      <c r="N165" s="8" t="s">
        <v>41</v>
      </c>
      <c r="O165" s="8" t="s">
        <v>42</v>
      </c>
      <c r="P165" s="6" t="s">
        <v>70</v>
      </c>
      <c r="Q165" s="8" t="s">
        <v>71</v>
      </c>
      <c r="R165" s="10" t="s">
        <v>250</v>
      </c>
      <c r="S165" s="11" t="s">
        <v>1117</v>
      </c>
      <c r="T165" s="6"/>
      <c r="U165" s="28" t="str">
        <f>HYPERLINK("https://media.infra-m.ru/2139/2139786/cover/2139786.jpg", "Обложка")</f>
        <v>Обложка</v>
      </c>
      <c r="V165" s="28" t="str">
        <f>HYPERLINK("https://znanium.ru/catalog/product/2135973", "Ознакомиться")</f>
        <v>Ознакомиться</v>
      </c>
      <c r="W165" s="8" t="s">
        <v>74</v>
      </c>
      <c r="X165" s="6"/>
      <c r="Y165" s="6" t="s">
        <v>30</v>
      </c>
      <c r="Z165" s="6"/>
      <c r="AA165" s="6" t="s">
        <v>305</v>
      </c>
    </row>
    <row r="166" spans="1:27" s="4" customFormat="1" ht="51.95" customHeight="1">
      <c r="A166" s="5">
        <v>0</v>
      </c>
      <c r="B166" s="6" t="s">
        <v>1118</v>
      </c>
      <c r="C166" s="13">
        <v>690</v>
      </c>
      <c r="D166" s="8" t="s">
        <v>1119</v>
      </c>
      <c r="E166" s="8" t="s">
        <v>1120</v>
      </c>
      <c r="F166" s="8" t="s">
        <v>1121</v>
      </c>
      <c r="G166" s="6" t="s">
        <v>66</v>
      </c>
      <c r="H166" s="6" t="s">
        <v>67</v>
      </c>
      <c r="I166" s="8" t="s">
        <v>68</v>
      </c>
      <c r="J166" s="9">
        <v>1</v>
      </c>
      <c r="K166" s="9">
        <v>143</v>
      </c>
      <c r="L166" s="9">
        <v>2024</v>
      </c>
      <c r="M166" s="8" t="s">
        <v>1122</v>
      </c>
      <c r="N166" s="8" t="s">
        <v>41</v>
      </c>
      <c r="O166" s="8" t="s">
        <v>42</v>
      </c>
      <c r="P166" s="6" t="s">
        <v>43</v>
      </c>
      <c r="Q166" s="8" t="s">
        <v>71</v>
      </c>
      <c r="R166" s="10" t="s">
        <v>1123</v>
      </c>
      <c r="S166" s="11" t="s">
        <v>1124</v>
      </c>
      <c r="T166" s="6"/>
      <c r="U166" s="28" t="str">
        <f>HYPERLINK("https://media.infra-m.ru/2084/2084110/cover/2084110.jpg", "Обложка")</f>
        <v>Обложка</v>
      </c>
      <c r="V166" s="28" t="str">
        <f>HYPERLINK("https://znanium.ru/catalog/product/2084110", "Ознакомиться")</f>
        <v>Ознакомиться</v>
      </c>
      <c r="W166" s="8" t="s">
        <v>140</v>
      </c>
      <c r="X166" s="6"/>
      <c r="Y166" s="6"/>
      <c r="Z166" s="6"/>
      <c r="AA166" s="6" t="s">
        <v>227</v>
      </c>
    </row>
    <row r="167" spans="1:27" s="4" customFormat="1" ht="44.1" customHeight="1">
      <c r="A167" s="5">
        <v>0</v>
      </c>
      <c r="B167" s="6" t="s">
        <v>1125</v>
      </c>
      <c r="C167" s="13">
        <v>750</v>
      </c>
      <c r="D167" s="8" t="s">
        <v>1126</v>
      </c>
      <c r="E167" s="8" t="s">
        <v>1127</v>
      </c>
      <c r="F167" s="8" t="s">
        <v>1128</v>
      </c>
      <c r="G167" s="6" t="s">
        <v>53</v>
      </c>
      <c r="H167" s="6" t="s">
        <v>67</v>
      </c>
      <c r="I167" s="8" t="s">
        <v>106</v>
      </c>
      <c r="J167" s="9">
        <v>1</v>
      </c>
      <c r="K167" s="9">
        <v>187</v>
      </c>
      <c r="L167" s="9">
        <v>2022</v>
      </c>
      <c r="M167" s="8" t="s">
        <v>1129</v>
      </c>
      <c r="N167" s="8" t="s">
        <v>121</v>
      </c>
      <c r="O167" s="8" t="s">
        <v>122</v>
      </c>
      <c r="P167" s="6" t="s">
        <v>110</v>
      </c>
      <c r="Q167" s="8" t="s">
        <v>111</v>
      </c>
      <c r="R167" s="10" t="s">
        <v>1130</v>
      </c>
      <c r="S167" s="11"/>
      <c r="T167" s="6"/>
      <c r="U167" s="28" t="str">
        <f>HYPERLINK("https://media.infra-m.ru/1318/1318775/cover/1318775.jpg", "Обложка")</f>
        <v>Обложка</v>
      </c>
      <c r="V167" s="28" t="str">
        <f>HYPERLINK("https://znanium.ru/catalog/product/1318775", "Ознакомиться")</f>
        <v>Ознакомиться</v>
      </c>
      <c r="W167" s="8" t="s">
        <v>1131</v>
      </c>
      <c r="X167" s="6"/>
      <c r="Y167" s="6"/>
      <c r="Z167" s="6"/>
      <c r="AA167" s="6" t="s">
        <v>244</v>
      </c>
    </row>
    <row r="168" spans="1:27" s="4" customFormat="1" ht="42" customHeight="1">
      <c r="A168" s="5">
        <v>0</v>
      </c>
      <c r="B168" s="6" t="s">
        <v>1132</v>
      </c>
      <c r="C168" s="7">
        <v>1250</v>
      </c>
      <c r="D168" s="8" t="s">
        <v>1133</v>
      </c>
      <c r="E168" s="8" t="s">
        <v>1134</v>
      </c>
      <c r="F168" s="8" t="s">
        <v>1135</v>
      </c>
      <c r="G168" s="6" t="s">
        <v>66</v>
      </c>
      <c r="H168" s="6" t="s">
        <v>67</v>
      </c>
      <c r="I168" s="8" t="s">
        <v>783</v>
      </c>
      <c r="J168" s="9">
        <v>1</v>
      </c>
      <c r="K168" s="9">
        <v>271</v>
      </c>
      <c r="L168" s="9">
        <v>2024</v>
      </c>
      <c r="M168" s="8" t="s">
        <v>1136</v>
      </c>
      <c r="N168" s="8" t="s">
        <v>41</v>
      </c>
      <c r="O168" s="8" t="s">
        <v>42</v>
      </c>
      <c r="P168" s="6" t="s">
        <v>110</v>
      </c>
      <c r="Q168" s="8" t="s">
        <v>111</v>
      </c>
      <c r="R168" s="10" t="s">
        <v>1137</v>
      </c>
      <c r="S168" s="11"/>
      <c r="T168" s="6"/>
      <c r="U168" s="28" t="str">
        <f>HYPERLINK("https://media.infra-m.ru/2117/2117127/cover/2117127.jpg", "Обложка")</f>
        <v>Обложка</v>
      </c>
      <c r="V168" s="12"/>
      <c r="W168" s="8" t="s">
        <v>1056</v>
      </c>
      <c r="X168" s="6"/>
      <c r="Y168" s="6"/>
      <c r="Z168" s="6"/>
      <c r="AA168" s="6" t="s">
        <v>190</v>
      </c>
    </row>
    <row r="169" spans="1:27" s="4" customFormat="1" ht="42" customHeight="1">
      <c r="A169" s="5">
        <v>0</v>
      </c>
      <c r="B169" s="6" t="s">
        <v>1138</v>
      </c>
      <c r="C169" s="13">
        <v>950</v>
      </c>
      <c r="D169" s="8" t="s">
        <v>1139</v>
      </c>
      <c r="E169" s="8" t="s">
        <v>1140</v>
      </c>
      <c r="F169" s="8" t="s">
        <v>1053</v>
      </c>
      <c r="G169" s="6" t="s">
        <v>53</v>
      </c>
      <c r="H169" s="6" t="s">
        <v>67</v>
      </c>
      <c r="I169" s="8" t="s">
        <v>106</v>
      </c>
      <c r="J169" s="9">
        <v>1</v>
      </c>
      <c r="K169" s="9">
        <v>203</v>
      </c>
      <c r="L169" s="9">
        <v>2023</v>
      </c>
      <c r="M169" s="8" t="s">
        <v>1141</v>
      </c>
      <c r="N169" s="8" t="s">
        <v>41</v>
      </c>
      <c r="O169" s="8" t="s">
        <v>42</v>
      </c>
      <c r="P169" s="6" t="s">
        <v>110</v>
      </c>
      <c r="Q169" s="8" t="s">
        <v>111</v>
      </c>
      <c r="R169" s="10" t="s">
        <v>330</v>
      </c>
      <c r="S169" s="11"/>
      <c r="T169" s="6"/>
      <c r="U169" s="28" t="str">
        <f>HYPERLINK("https://media.infra-m.ru/1891/1891847/cover/1891847.jpg", "Обложка")</f>
        <v>Обложка</v>
      </c>
      <c r="V169" s="28" t="str">
        <f>HYPERLINK("https://znanium.ru/catalog/product/1891847", "Ознакомиться")</f>
        <v>Ознакомиться</v>
      </c>
      <c r="W169" s="8" t="s">
        <v>1056</v>
      </c>
      <c r="X169" s="6"/>
      <c r="Y169" s="6"/>
      <c r="Z169" s="6"/>
      <c r="AA169" s="6" t="s">
        <v>190</v>
      </c>
    </row>
    <row r="170" spans="1:27" s="4" customFormat="1" ht="42" customHeight="1">
      <c r="A170" s="5">
        <v>0</v>
      </c>
      <c r="B170" s="6" t="s">
        <v>1142</v>
      </c>
      <c r="C170" s="13">
        <v>769.9</v>
      </c>
      <c r="D170" s="8" t="s">
        <v>1143</v>
      </c>
      <c r="E170" s="8" t="s">
        <v>1144</v>
      </c>
      <c r="F170" s="8" t="s">
        <v>1053</v>
      </c>
      <c r="G170" s="6" t="s">
        <v>66</v>
      </c>
      <c r="H170" s="6" t="s">
        <v>67</v>
      </c>
      <c r="I170" s="8" t="s">
        <v>106</v>
      </c>
      <c r="J170" s="9">
        <v>1</v>
      </c>
      <c r="K170" s="9">
        <v>226</v>
      </c>
      <c r="L170" s="9">
        <v>2019</v>
      </c>
      <c r="M170" s="8" t="s">
        <v>1145</v>
      </c>
      <c r="N170" s="8" t="s">
        <v>41</v>
      </c>
      <c r="O170" s="8" t="s">
        <v>42</v>
      </c>
      <c r="P170" s="6" t="s">
        <v>110</v>
      </c>
      <c r="Q170" s="8" t="s">
        <v>111</v>
      </c>
      <c r="R170" s="10" t="s">
        <v>330</v>
      </c>
      <c r="S170" s="11"/>
      <c r="T170" s="6"/>
      <c r="U170" s="28" t="str">
        <f>HYPERLINK("https://media.infra-m.ru/1002/1002484/cover/1002484.jpg", "Обложка")</f>
        <v>Обложка</v>
      </c>
      <c r="V170" s="28" t="str">
        <f>HYPERLINK("https://znanium.ru/catalog/product/1002484", "Ознакомиться")</f>
        <v>Ознакомиться</v>
      </c>
      <c r="W170" s="8" t="s">
        <v>1056</v>
      </c>
      <c r="X170" s="6"/>
      <c r="Y170" s="6"/>
      <c r="Z170" s="6"/>
      <c r="AA170" s="6" t="s">
        <v>190</v>
      </c>
    </row>
    <row r="171" spans="1:27" s="4" customFormat="1" ht="51.95" customHeight="1">
      <c r="A171" s="5">
        <v>0</v>
      </c>
      <c r="B171" s="6" t="s">
        <v>1146</v>
      </c>
      <c r="C171" s="13">
        <v>950</v>
      </c>
      <c r="D171" s="8" t="s">
        <v>1147</v>
      </c>
      <c r="E171" s="8" t="s">
        <v>1148</v>
      </c>
      <c r="F171" s="8" t="s">
        <v>1149</v>
      </c>
      <c r="G171" s="6" t="s">
        <v>66</v>
      </c>
      <c r="H171" s="6" t="s">
        <v>67</v>
      </c>
      <c r="I171" s="8" t="s">
        <v>39</v>
      </c>
      <c r="J171" s="9">
        <v>1</v>
      </c>
      <c r="K171" s="9">
        <v>211</v>
      </c>
      <c r="L171" s="9">
        <v>2022</v>
      </c>
      <c r="M171" s="8" t="s">
        <v>1150</v>
      </c>
      <c r="N171" s="8" t="s">
        <v>41</v>
      </c>
      <c r="O171" s="8" t="s">
        <v>42</v>
      </c>
      <c r="P171" s="6" t="s">
        <v>43</v>
      </c>
      <c r="Q171" s="8" t="s">
        <v>44</v>
      </c>
      <c r="R171" s="10" t="s">
        <v>1151</v>
      </c>
      <c r="S171" s="11" t="s">
        <v>1152</v>
      </c>
      <c r="T171" s="6"/>
      <c r="U171" s="28" t="str">
        <f>HYPERLINK("https://media.infra-m.ru/1869/1869209/cover/1869209.jpg", "Обложка")</f>
        <v>Обложка</v>
      </c>
      <c r="V171" s="28" t="str">
        <f>HYPERLINK("https://znanium.ru/catalog/product/1869209", "Ознакомиться")</f>
        <v>Ознакомиться</v>
      </c>
      <c r="W171" s="8" t="s">
        <v>625</v>
      </c>
      <c r="X171" s="6"/>
      <c r="Y171" s="6"/>
      <c r="Z171" s="6"/>
      <c r="AA171" s="6" t="s">
        <v>126</v>
      </c>
    </row>
    <row r="172" spans="1:27" s="4" customFormat="1" ht="51.95" customHeight="1">
      <c r="A172" s="5">
        <v>0</v>
      </c>
      <c r="B172" s="6" t="s">
        <v>1153</v>
      </c>
      <c r="C172" s="7">
        <v>1024</v>
      </c>
      <c r="D172" s="8" t="s">
        <v>1154</v>
      </c>
      <c r="E172" s="8" t="s">
        <v>1155</v>
      </c>
      <c r="F172" s="8" t="s">
        <v>1156</v>
      </c>
      <c r="G172" s="6" t="s">
        <v>66</v>
      </c>
      <c r="H172" s="6" t="s">
        <v>67</v>
      </c>
      <c r="I172" s="8" t="s">
        <v>68</v>
      </c>
      <c r="J172" s="9">
        <v>1</v>
      </c>
      <c r="K172" s="9">
        <v>218</v>
      </c>
      <c r="L172" s="9">
        <v>2024</v>
      </c>
      <c r="M172" s="8" t="s">
        <v>1157</v>
      </c>
      <c r="N172" s="8" t="s">
        <v>41</v>
      </c>
      <c r="O172" s="8" t="s">
        <v>42</v>
      </c>
      <c r="P172" s="6" t="s">
        <v>70</v>
      </c>
      <c r="Q172" s="8" t="s">
        <v>71</v>
      </c>
      <c r="R172" s="10" t="s">
        <v>1158</v>
      </c>
      <c r="S172" s="11" t="s">
        <v>1159</v>
      </c>
      <c r="T172" s="6"/>
      <c r="U172" s="28" t="str">
        <f>HYPERLINK("https://media.infra-m.ru/2113/2113872/cover/2113872.jpg", "Обложка")</f>
        <v>Обложка</v>
      </c>
      <c r="V172" s="28" t="str">
        <f>HYPERLINK("https://znanium.ru/catalog/product/1845218", "Ознакомиться")</f>
        <v>Ознакомиться</v>
      </c>
      <c r="W172" s="8" t="s">
        <v>922</v>
      </c>
      <c r="X172" s="6"/>
      <c r="Y172" s="6" t="s">
        <v>30</v>
      </c>
      <c r="Z172" s="6"/>
      <c r="AA172" s="6" t="s">
        <v>572</v>
      </c>
    </row>
    <row r="173" spans="1:27" s="4" customFormat="1" ht="51.95" customHeight="1">
      <c r="A173" s="5">
        <v>0</v>
      </c>
      <c r="B173" s="6" t="s">
        <v>1160</v>
      </c>
      <c r="C173" s="13">
        <v>850</v>
      </c>
      <c r="D173" s="8" t="s">
        <v>1161</v>
      </c>
      <c r="E173" s="8" t="s">
        <v>1155</v>
      </c>
      <c r="F173" s="8" t="s">
        <v>1156</v>
      </c>
      <c r="G173" s="6" t="s">
        <v>66</v>
      </c>
      <c r="H173" s="6" t="s">
        <v>67</v>
      </c>
      <c r="I173" s="8" t="s">
        <v>39</v>
      </c>
      <c r="J173" s="9">
        <v>1</v>
      </c>
      <c r="K173" s="9">
        <v>219</v>
      </c>
      <c r="L173" s="9">
        <v>2022</v>
      </c>
      <c r="M173" s="8" t="s">
        <v>1162</v>
      </c>
      <c r="N173" s="8" t="s">
        <v>41</v>
      </c>
      <c r="O173" s="8" t="s">
        <v>42</v>
      </c>
      <c r="P173" s="6" t="s">
        <v>70</v>
      </c>
      <c r="Q173" s="8" t="s">
        <v>44</v>
      </c>
      <c r="R173" s="10" t="s">
        <v>1163</v>
      </c>
      <c r="S173" s="11" t="s">
        <v>1164</v>
      </c>
      <c r="T173" s="6"/>
      <c r="U173" s="28" t="str">
        <f>HYPERLINK("https://media.infra-m.ru/1832/1832391/cover/1832391.jpg", "Обложка")</f>
        <v>Обложка</v>
      </c>
      <c r="V173" s="28" t="str">
        <f>HYPERLINK("https://znanium.ru/catalog/product/1832391", "Ознакомиться")</f>
        <v>Ознакомиться</v>
      </c>
      <c r="W173" s="8" t="s">
        <v>922</v>
      </c>
      <c r="X173" s="6"/>
      <c r="Y173" s="6" t="s">
        <v>30</v>
      </c>
      <c r="Z173" s="6" t="s">
        <v>1165</v>
      </c>
      <c r="AA173" s="6" t="s">
        <v>674</v>
      </c>
    </row>
    <row r="174" spans="1:27" s="4" customFormat="1" ht="51.95" customHeight="1">
      <c r="A174" s="5">
        <v>0</v>
      </c>
      <c r="B174" s="6" t="s">
        <v>1166</v>
      </c>
      <c r="C174" s="7">
        <v>1104</v>
      </c>
      <c r="D174" s="8" t="s">
        <v>1167</v>
      </c>
      <c r="E174" s="8" t="s">
        <v>1168</v>
      </c>
      <c r="F174" s="8" t="s">
        <v>1169</v>
      </c>
      <c r="G174" s="6" t="s">
        <v>37</v>
      </c>
      <c r="H174" s="6" t="s">
        <v>1170</v>
      </c>
      <c r="I174" s="8"/>
      <c r="J174" s="9">
        <v>1</v>
      </c>
      <c r="K174" s="9">
        <v>240</v>
      </c>
      <c r="L174" s="9">
        <v>2023</v>
      </c>
      <c r="M174" s="8" t="s">
        <v>1171</v>
      </c>
      <c r="N174" s="8" t="s">
        <v>41</v>
      </c>
      <c r="O174" s="8" t="s">
        <v>42</v>
      </c>
      <c r="P174" s="6" t="s">
        <v>43</v>
      </c>
      <c r="Q174" s="8" t="s">
        <v>97</v>
      </c>
      <c r="R174" s="10" t="s">
        <v>98</v>
      </c>
      <c r="S174" s="11" t="s">
        <v>1172</v>
      </c>
      <c r="T174" s="6"/>
      <c r="U174" s="28" t="str">
        <f>HYPERLINK("https://media.infra-m.ru/2013/2013713/cover/2013713.jpg", "Обложка")</f>
        <v>Обложка</v>
      </c>
      <c r="V174" s="28" t="str">
        <f>HYPERLINK("https://znanium.ru/catalog/product/1015203", "Ознакомиться")</f>
        <v>Ознакомиться</v>
      </c>
      <c r="W174" s="8" t="s">
        <v>1173</v>
      </c>
      <c r="X174" s="6"/>
      <c r="Y174" s="6"/>
      <c r="Z174" s="6"/>
      <c r="AA174" s="6" t="s">
        <v>157</v>
      </c>
    </row>
    <row r="175" spans="1:27" s="4" customFormat="1" ht="51.95" customHeight="1">
      <c r="A175" s="5">
        <v>0</v>
      </c>
      <c r="B175" s="6" t="s">
        <v>1174</v>
      </c>
      <c r="C175" s="7">
        <v>1570</v>
      </c>
      <c r="D175" s="8" t="s">
        <v>1175</v>
      </c>
      <c r="E175" s="8" t="s">
        <v>1176</v>
      </c>
      <c r="F175" s="8" t="s">
        <v>1177</v>
      </c>
      <c r="G175" s="6" t="s">
        <v>66</v>
      </c>
      <c r="H175" s="6" t="s">
        <v>67</v>
      </c>
      <c r="I175" s="8" t="s">
        <v>68</v>
      </c>
      <c r="J175" s="9">
        <v>1</v>
      </c>
      <c r="K175" s="9">
        <v>334</v>
      </c>
      <c r="L175" s="9">
        <v>2024</v>
      </c>
      <c r="M175" s="8" t="s">
        <v>1178</v>
      </c>
      <c r="N175" s="8" t="s">
        <v>41</v>
      </c>
      <c r="O175" s="8" t="s">
        <v>42</v>
      </c>
      <c r="P175" s="6" t="s">
        <v>43</v>
      </c>
      <c r="Q175" s="8" t="s">
        <v>71</v>
      </c>
      <c r="R175" s="10" t="s">
        <v>89</v>
      </c>
      <c r="S175" s="11" t="s">
        <v>1179</v>
      </c>
      <c r="T175" s="6"/>
      <c r="U175" s="28" t="str">
        <f>HYPERLINK("https://media.infra-m.ru/2139/2139112/cover/2139112.jpg", "Обложка")</f>
        <v>Обложка</v>
      </c>
      <c r="V175" s="28" t="str">
        <f>HYPERLINK("https://znanium.ru/catalog/product/2139112", "Ознакомиться")</f>
        <v>Ознакомиться</v>
      </c>
      <c r="W175" s="8" t="s">
        <v>625</v>
      </c>
      <c r="X175" s="6"/>
      <c r="Y175" s="6"/>
      <c r="Z175" s="6"/>
      <c r="AA175" s="6" t="s">
        <v>953</v>
      </c>
    </row>
    <row r="176" spans="1:27" s="4" customFormat="1" ht="51.95" customHeight="1">
      <c r="A176" s="5">
        <v>0</v>
      </c>
      <c r="B176" s="6" t="s">
        <v>1180</v>
      </c>
      <c r="C176" s="13">
        <v>920</v>
      </c>
      <c r="D176" s="8" t="s">
        <v>1181</v>
      </c>
      <c r="E176" s="8" t="s">
        <v>1182</v>
      </c>
      <c r="F176" s="8" t="s">
        <v>1183</v>
      </c>
      <c r="G176" s="6" t="s">
        <v>53</v>
      </c>
      <c r="H176" s="6" t="s">
        <v>38</v>
      </c>
      <c r="I176" s="8" t="s">
        <v>106</v>
      </c>
      <c r="J176" s="9">
        <v>1</v>
      </c>
      <c r="K176" s="9">
        <v>204</v>
      </c>
      <c r="L176" s="9">
        <v>2023</v>
      </c>
      <c r="M176" s="8" t="s">
        <v>1184</v>
      </c>
      <c r="N176" s="8" t="s">
        <v>108</v>
      </c>
      <c r="O176" s="8" t="s">
        <v>109</v>
      </c>
      <c r="P176" s="6" t="s">
        <v>110</v>
      </c>
      <c r="Q176" s="8" t="s">
        <v>111</v>
      </c>
      <c r="R176" s="10" t="s">
        <v>1185</v>
      </c>
      <c r="S176" s="11"/>
      <c r="T176" s="6"/>
      <c r="U176" s="28" t="str">
        <f>HYPERLINK("https://media.infra-m.ru/1996/1996307/cover/1996307.jpg", "Обложка")</f>
        <v>Обложка</v>
      </c>
      <c r="V176" s="28" t="str">
        <f>HYPERLINK("https://znanium.ru/catalog/product/1996307", "Ознакомиться")</f>
        <v>Ознакомиться</v>
      </c>
      <c r="W176" s="8" t="s">
        <v>1186</v>
      </c>
      <c r="X176" s="6"/>
      <c r="Y176" s="6"/>
      <c r="Z176" s="6"/>
      <c r="AA176" s="6" t="s">
        <v>48</v>
      </c>
    </row>
    <row r="177" spans="1:27" s="4" customFormat="1" ht="51.95" customHeight="1">
      <c r="A177" s="5">
        <v>0</v>
      </c>
      <c r="B177" s="6" t="s">
        <v>1187</v>
      </c>
      <c r="C177" s="7">
        <v>1284</v>
      </c>
      <c r="D177" s="8" t="s">
        <v>1188</v>
      </c>
      <c r="E177" s="8" t="s">
        <v>1189</v>
      </c>
      <c r="F177" s="8" t="s">
        <v>1190</v>
      </c>
      <c r="G177" s="6" t="s">
        <v>37</v>
      </c>
      <c r="H177" s="6" t="s">
        <v>67</v>
      </c>
      <c r="I177" s="8" t="s">
        <v>39</v>
      </c>
      <c r="J177" s="9">
        <v>1</v>
      </c>
      <c r="K177" s="9">
        <v>278</v>
      </c>
      <c r="L177" s="9">
        <v>2024</v>
      </c>
      <c r="M177" s="8" t="s">
        <v>1191</v>
      </c>
      <c r="N177" s="8" t="s">
        <v>41</v>
      </c>
      <c r="O177" s="8" t="s">
        <v>42</v>
      </c>
      <c r="P177" s="6" t="s">
        <v>43</v>
      </c>
      <c r="Q177" s="8" t="s">
        <v>44</v>
      </c>
      <c r="R177" s="10" t="s">
        <v>258</v>
      </c>
      <c r="S177" s="11" t="s">
        <v>1192</v>
      </c>
      <c r="T177" s="6"/>
      <c r="U177" s="28" t="str">
        <f>HYPERLINK("https://media.infra-m.ru/1891/1891968/cover/1891968.jpg", "Обложка")</f>
        <v>Обложка</v>
      </c>
      <c r="V177" s="28" t="str">
        <f>HYPERLINK("https://znanium.ru/catalog/product/1013446", "Ознакомиться")</f>
        <v>Ознакомиться</v>
      </c>
      <c r="W177" s="8" t="s">
        <v>1193</v>
      </c>
      <c r="X177" s="6"/>
      <c r="Y177" s="6"/>
      <c r="Z177" s="6"/>
      <c r="AA177" s="6" t="s">
        <v>75</v>
      </c>
    </row>
    <row r="178" spans="1:27" s="4" customFormat="1" ht="51.95" customHeight="1">
      <c r="A178" s="5">
        <v>0</v>
      </c>
      <c r="B178" s="6" t="s">
        <v>1194</v>
      </c>
      <c r="C178" s="7">
        <v>1440</v>
      </c>
      <c r="D178" s="8" t="s">
        <v>1195</v>
      </c>
      <c r="E178" s="8" t="s">
        <v>1196</v>
      </c>
      <c r="F178" s="8" t="s">
        <v>1197</v>
      </c>
      <c r="G178" s="6" t="s">
        <v>66</v>
      </c>
      <c r="H178" s="6" t="s">
        <v>67</v>
      </c>
      <c r="I178" s="8" t="s">
        <v>39</v>
      </c>
      <c r="J178" s="9">
        <v>1</v>
      </c>
      <c r="K178" s="9">
        <v>305</v>
      </c>
      <c r="L178" s="9">
        <v>2024</v>
      </c>
      <c r="M178" s="8" t="s">
        <v>1198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258</v>
      </c>
      <c r="S178" s="11" t="s">
        <v>1199</v>
      </c>
      <c r="T178" s="6" t="s">
        <v>59</v>
      </c>
      <c r="U178" s="28" t="str">
        <f>HYPERLINK("https://media.infra-m.ru/2111/2111785/cover/2111785.jpg", "Обложка")</f>
        <v>Обложка</v>
      </c>
      <c r="V178" s="28" t="str">
        <f>HYPERLINK("https://znanium.ru/catalog/product/2111785", "Ознакомиться")</f>
        <v>Ознакомиться</v>
      </c>
      <c r="W178" s="8" t="s">
        <v>74</v>
      </c>
      <c r="X178" s="6"/>
      <c r="Y178" s="6"/>
      <c r="Z178" s="6"/>
      <c r="AA178" s="6" t="s">
        <v>157</v>
      </c>
    </row>
    <row r="179" spans="1:27" s="4" customFormat="1" ht="51.95" customHeight="1">
      <c r="A179" s="5">
        <v>0</v>
      </c>
      <c r="B179" s="6" t="s">
        <v>1200</v>
      </c>
      <c r="C179" s="7">
        <v>1210</v>
      </c>
      <c r="D179" s="8" t="s">
        <v>1201</v>
      </c>
      <c r="E179" s="8" t="s">
        <v>1202</v>
      </c>
      <c r="F179" s="8" t="s">
        <v>1203</v>
      </c>
      <c r="G179" s="6" t="s">
        <v>66</v>
      </c>
      <c r="H179" s="6" t="s">
        <v>67</v>
      </c>
      <c r="I179" s="8" t="s">
        <v>54</v>
      </c>
      <c r="J179" s="9">
        <v>1</v>
      </c>
      <c r="K179" s="9">
        <v>262</v>
      </c>
      <c r="L179" s="9">
        <v>2024</v>
      </c>
      <c r="M179" s="8" t="s">
        <v>1204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1205</v>
      </c>
      <c r="S179" s="11" t="s">
        <v>1206</v>
      </c>
      <c r="T179" s="6"/>
      <c r="U179" s="28" t="str">
        <f>HYPERLINK("https://media.infra-m.ru/2091/2091914/cover/2091914.jpg", "Обложка")</f>
        <v>Обложка</v>
      </c>
      <c r="V179" s="28" t="str">
        <f>HYPERLINK("https://znanium.ru/catalog/product/2091914", "Ознакомиться")</f>
        <v>Ознакомиться</v>
      </c>
      <c r="W179" s="8" t="s">
        <v>176</v>
      </c>
      <c r="X179" s="6"/>
      <c r="Y179" s="6"/>
      <c r="Z179" s="6"/>
      <c r="AA179" s="6" t="s">
        <v>289</v>
      </c>
    </row>
    <row r="180" spans="1:27" s="4" customFormat="1" ht="51.95" customHeight="1">
      <c r="A180" s="5">
        <v>0</v>
      </c>
      <c r="B180" s="6" t="s">
        <v>1207</v>
      </c>
      <c r="C180" s="7">
        <v>1419.9</v>
      </c>
      <c r="D180" s="8" t="s">
        <v>1208</v>
      </c>
      <c r="E180" s="8" t="s">
        <v>1209</v>
      </c>
      <c r="F180" s="8" t="s">
        <v>1210</v>
      </c>
      <c r="G180" s="6" t="s">
        <v>66</v>
      </c>
      <c r="H180" s="6" t="s">
        <v>67</v>
      </c>
      <c r="I180" s="8" t="s">
        <v>68</v>
      </c>
      <c r="J180" s="9">
        <v>1</v>
      </c>
      <c r="K180" s="9">
        <v>444</v>
      </c>
      <c r="L180" s="9">
        <v>2019</v>
      </c>
      <c r="M180" s="8" t="s">
        <v>1211</v>
      </c>
      <c r="N180" s="8" t="s">
        <v>41</v>
      </c>
      <c r="O180" s="8" t="s">
        <v>42</v>
      </c>
      <c r="P180" s="6" t="s">
        <v>70</v>
      </c>
      <c r="Q180" s="8" t="s">
        <v>71</v>
      </c>
      <c r="R180" s="10" t="s">
        <v>1123</v>
      </c>
      <c r="S180" s="11" t="s">
        <v>758</v>
      </c>
      <c r="T180" s="6"/>
      <c r="U180" s="28" t="str">
        <f>HYPERLINK("https://media.infra-m.ru/0988/0988154/cover/988154.jpg", "Обложка")</f>
        <v>Обложка</v>
      </c>
      <c r="V180" s="28" t="str">
        <f>HYPERLINK("https://znanium.ru/catalog/product/1907521", "Ознакомиться")</f>
        <v>Ознакомиться</v>
      </c>
      <c r="W180" s="8" t="s">
        <v>1212</v>
      </c>
      <c r="X180" s="6"/>
      <c r="Y180" s="6"/>
      <c r="Z180" s="6"/>
      <c r="AA180" s="6" t="s">
        <v>1213</v>
      </c>
    </row>
    <row r="181" spans="1:27" s="4" customFormat="1" ht="51.95" customHeight="1">
      <c r="A181" s="5">
        <v>0</v>
      </c>
      <c r="B181" s="6" t="s">
        <v>1214</v>
      </c>
      <c r="C181" s="7">
        <v>2010</v>
      </c>
      <c r="D181" s="8" t="s">
        <v>1215</v>
      </c>
      <c r="E181" s="8" t="s">
        <v>1216</v>
      </c>
      <c r="F181" s="8" t="s">
        <v>1217</v>
      </c>
      <c r="G181" s="6" t="s">
        <v>37</v>
      </c>
      <c r="H181" s="6" t="s">
        <v>67</v>
      </c>
      <c r="I181" s="8" t="s">
        <v>68</v>
      </c>
      <c r="J181" s="9">
        <v>1</v>
      </c>
      <c r="K181" s="9">
        <v>447</v>
      </c>
      <c r="L181" s="9">
        <v>2023</v>
      </c>
      <c r="M181" s="8" t="s">
        <v>1218</v>
      </c>
      <c r="N181" s="8" t="s">
        <v>41</v>
      </c>
      <c r="O181" s="8" t="s">
        <v>42</v>
      </c>
      <c r="P181" s="6" t="s">
        <v>70</v>
      </c>
      <c r="Q181" s="8" t="s">
        <v>71</v>
      </c>
      <c r="R181" s="10" t="s">
        <v>1123</v>
      </c>
      <c r="S181" s="11" t="s">
        <v>758</v>
      </c>
      <c r="T181" s="6"/>
      <c r="U181" s="28" t="str">
        <f>HYPERLINK("https://media.infra-m.ru/1907/1907521/cover/1907521.jpg", "Обложка")</f>
        <v>Обложка</v>
      </c>
      <c r="V181" s="28" t="str">
        <f>HYPERLINK("https://znanium.ru/catalog/product/1907521", "Ознакомиться")</f>
        <v>Ознакомиться</v>
      </c>
      <c r="W181" s="8" t="s">
        <v>1219</v>
      </c>
      <c r="X181" s="6"/>
      <c r="Y181" s="6"/>
      <c r="Z181" s="6"/>
      <c r="AA181" s="6" t="s">
        <v>1220</v>
      </c>
    </row>
    <row r="182" spans="1:27" s="4" customFormat="1" ht="51.95" customHeight="1">
      <c r="A182" s="5">
        <v>0</v>
      </c>
      <c r="B182" s="6" t="s">
        <v>1221</v>
      </c>
      <c r="C182" s="13">
        <v>994</v>
      </c>
      <c r="D182" s="8" t="s">
        <v>1222</v>
      </c>
      <c r="E182" s="8" t="s">
        <v>1223</v>
      </c>
      <c r="F182" s="8" t="s">
        <v>1217</v>
      </c>
      <c r="G182" s="6" t="s">
        <v>53</v>
      </c>
      <c r="H182" s="6" t="s">
        <v>38</v>
      </c>
      <c r="I182" s="8" t="s">
        <v>853</v>
      </c>
      <c r="J182" s="9">
        <v>1</v>
      </c>
      <c r="K182" s="9">
        <v>236</v>
      </c>
      <c r="L182" s="9">
        <v>2024</v>
      </c>
      <c r="M182" s="8" t="s">
        <v>1224</v>
      </c>
      <c r="N182" s="8" t="s">
        <v>41</v>
      </c>
      <c r="O182" s="8" t="s">
        <v>42</v>
      </c>
      <c r="P182" s="6" t="s">
        <v>43</v>
      </c>
      <c r="Q182" s="8" t="s">
        <v>71</v>
      </c>
      <c r="R182" s="10" t="s">
        <v>764</v>
      </c>
      <c r="S182" s="11" t="s">
        <v>1225</v>
      </c>
      <c r="T182" s="6"/>
      <c r="U182" s="28" t="str">
        <f>HYPERLINK("https://media.infra-m.ru/2008/2008780/cover/2008780.jpg", "Обложка")</f>
        <v>Обложка</v>
      </c>
      <c r="V182" s="28" t="str">
        <f>HYPERLINK("https://znanium.ru/catalog/product/1865720", "Ознакомиться")</f>
        <v>Ознакомиться</v>
      </c>
      <c r="W182" s="8" t="s">
        <v>1219</v>
      </c>
      <c r="X182" s="6"/>
      <c r="Y182" s="6"/>
      <c r="Z182" s="6"/>
      <c r="AA182" s="6" t="s">
        <v>83</v>
      </c>
    </row>
    <row r="183" spans="1:27" s="4" customFormat="1" ht="51.95" customHeight="1">
      <c r="A183" s="5">
        <v>0</v>
      </c>
      <c r="B183" s="6" t="s">
        <v>1226</v>
      </c>
      <c r="C183" s="7">
        <v>2900</v>
      </c>
      <c r="D183" s="8" t="s">
        <v>1227</v>
      </c>
      <c r="E183" s="8" t="s">
        <v>1228</v>
      </c>
      <c r="F183" s="8" t="s">
        <v>1229</v>
      </c>
      <c r="G183" s="6" t="s">
        <v>37</v>
      </c>
      <c r="H183" s="6" t="s">
        <v>67</v>
      </c>
      <c r="I183" s="8" t="s">
        <v>54</v>
      </c>
      <c r="J183" s="9">
        <v>1</v>
      </c>
      <c r="K183" s="9">
        <v>633</v>
      </c>
      <c r="L183" s="9">
        <v>2024</v>
      </c>
      <c r="M183" s="8" t="s">
        <v>1230</v>
      </c>
      <c r="N183" s="8" t="s">
        <v>41</v>
      </c>
      <c r="O183" s="8" t="s">
        <v>42</v>
      </c>
      <c r="P183" s="6" t="s">
        <v>43</v>
      </c>
      <c r="Q183" s="8" t="s">
        <v>56</v>
      </c>
      <c r="R183" s="10" t="s">
        <v>258</v>
      </c>
      <c r="S183" s="11" t="s">
        <v>1231</v>
      </c>
      <c r="T183" s="6"/>
      <c r="U183" s="28" t="str">
        <f>HYPERLINK("https://media.infra-m.ru/2124/2124732/cover/2124732.jpg", "Обложка")</f>
        <v>Обложка</v>
      </c>
      <c r="V183" s="28" t="str">
        <f>HYPERLINK("https://znanium.ru/catalog/product/2124732", "Ознакомиться")</f>
        <v>Ознакомиться</v>
      </c>
      <c r="W183" s="8" t="s">
        <v>369</v>
      </c>
      <c r="X183" s="6"/>
      <c r="Y183" s="6"/>
      <c r="Z183" s="6"/>
      <c r="AA183" s="6" t="s">
        <v>289</v>
      </c>
    </row>
    <row r="184" spans="1:27" s="4" customFormat="1" ht="51.95" customHeight="1">
      <c r="A184" s="5">
        <v>0</v>
      </c>
      <c r="B184" s="6" t="s">
        <v>1232</v>
      </c>
      <c r="C184" s="7">
        <v>1174</v>
      </c>
      <c r="D184" s="8" t="s">
        <v>1233</v>
      </c>
      <c r="E184" s="8" t="s">
        <v>1234</v>
      </c>
      <c r="F184" s="8" t="s">
        <v>1235</v>
      </c>
      <c r="G184" s="6" t="s">
        <v>66</v>
      </c>
      <c r="H184" s="6" t="s">
        <v>173</v>
      </c>
      <c r="I184" s="8" t="s">
        <v>54</v>
      </c>
      <c r="J184" s="9">
        <v>1</v>
      </c>
      <c r="K184" s="9">
        <v>256</v>
      </c>
      <c r="L184" s="9">
        <v>2024</v>
      </c>
      <c r="M184" s="8" t="s">
        <v>1236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1237</v>
      </c>
      <c r="S184" s="11" t="s">
        <v>1238</v>
      </c>
      <c r="T184" s="6"/>
      <c r="U184" s="28" t="str">
        <f>HYPERLINK("https://media.infra-m.ru/2110/2110958/cover/2110958.jpg", "Обложка")</f>
        <v>Обложка</v>
      </c>
      <c r="V184" s="28" t="str">
        <f>HYPERLINK("https://znanium.ru/catalog/product/1857337", "Ознакомиться")</f>
        <v>Ознакомиться</v>
      </c>
      <c r="W184" s="8" t="s">
        <v>810</v>
      </c>
      <c r="X184" s="6"/>
      <c r="Y184" s="6"/>
      <c r="Z184" s="6"/>
      <c r="AA184" s="6" t="s">
        <v>289</v>
      </c>
    </row>
    <row r="185" spans="1:27" s="4" customFormat="1" ht="51.95" customHeight="1">
      <c r="A185" s="5">
        <v>0</v>
      </c>
      <c r="B185" s="6" t="s">
        <v>1239</v>
      </c>
      <c r="C185" s="7">
        <v>1204</v>
      </c>
      <c r="D185" s="8" t="s">
        <v>1240</v>
      </c>
      <c r="E185" s="8" t="s">
        <v>1234</v>
      </c>
      <c r="F185" s="8" t="s">
        <v>1235</v>
      </c>
      <c r="G185" s="6" t="s">
        <v>66</v>
      </c>
      <c r="H185" s="6" t="s">
        <v>173</v>
      </c>
      <c r="I185" s="8" t="s">
        <v>68</v>
      </c>
      <c r="J185" s="9">
        <v>1</v>
      </c>
      <c r="K185" s="9">
        <v>256</v>
      </c>
      <c r="L185" s="9">
        <v>2024</v>
      </c>
      <c r="M185" s="8" t="s">
        <v>1241</v>
      </c>
      <c r="N185" s="8" t="s">
        <v>41</v>
      </c>
      <c r="O185" s="8" t="s">
        <v>42</v>
      </c>
      <c r="P185" s="6" t="s">
        <v>43</v>
      </c>
      <c r="Q185" s="8" t="s">
        <v>71</v>
      </c>
      <c r="R185" s="10" t="s">
        <v>1242</v>
      </c>
      <c r="S185" s="11" t="s">
        <v>1243</v>
      </c>
      <c r="T185" s="6"/>
      <c r="U185" s="28" t="str">
        <f>HYPERLINK("https://media.infra-m.ru/2084/2084324/cover/2084324.jpg", "Обложка")</f>
        <v>Обложка</v>
      </c>
      <c r="V185" s="28" t="str">
        <f>HYPERLINK("https://znanium.ru/catalog/product/2041697", "Ознакомиться")</f>
        <v>Ознакомиться</v>
      </c>
      <c r="W185" s="8" t="s">
        <v>810</v>
      </c>
      <c r="X185" s="6"/>
      <c r="Y185" s="6"/>
      <c r="Z185" s="6" t="s">
        <v>132</v>
      </c>
      <c r="AA185" s="6" t="s">
        <v>101</v>
      </c>
    </row>
    <row r="186" spans="1:27" s="4" customFormat="1" ht="51.95" customHeight="1">
      <c r="A186" s="5">
        <v>0</v>
      </c>
      <c r="B186" s="6" t="s">
        <v>1244</v>
      </c>
      <c r="C186" s="7">
        <v>2194</v>
      </c>
      <c r="D186" s="8" t="s">
        <v>1245</v>
      </c>
      <c r="E186" s="8" t="s">
        <v>1246</v>
      </c>
      <c r="F186" s="8" t="s">
        <v>1247</v>
      </c>
      <c r="G186" s="6" t="s">
        <v>37</v>
      </c>
      <c r="H186" s="6" t="s">
        <v>67</v>
      </c>
      <c r="I186" s="8" t="s">
        <v>68</v>
      </c>
      <c r="J186" s="9">
        <v>1</v>
      </c>
      <c r="K186" s="9">
        <v>533</v>
      </c>
      <c r="L186" s="9">
        <v>2024</v>
      </c>
      <c r="M186" s="8" t="s">
        <v>1248</v>
      </c>
      <c r="N186" s="8" t="s">
        <v>41</v>
      </c>
      <c r="O186" s="8" t="s">
        <v>42</v>
      </c>
      <c r="P186" s="6" t="s">
        <v>70</v>
      </c>
      <c r="Q186" s="8" t="s">
        <v>71</v>
      </c>
      <c r="R186" s="10" t="s">
        <v>1249</v>
      </c>
      <c r="S186" s="11" t="s">
        <v>1250</v>
      </c>
      <c r="T186" s="6"/>
      <c r="U186" s="28" t="str">
        <f>HYPERLINK("https://media.infra-m.ru/2098/2098047/cover/2098047.jpg", "Обложка")</f>
        <v>Обложка</v>
      </c>
      <c r="V186" s="28" t="str">
        <f>HYPERLINK("https://znanium.ru/catalog/product/2008781", "Ознакомиться")</f>
        <v>Ознакомиться</v>
      </c>
      <c r="W186" s="8" t="s">
        <v>410</v>
      </c>
      <c r="X186" s="6"/>
      <c r="Y186" s="6"/>
      <c r="Z186" s="6" t="s">
        <v>132</v>
      </c>
      <c r="AA186" s="6" t="s">
        <v>190</v>
      </c>
    </row>
    <row r="187" spans="1:27" s="4" customFormat="1" ht="51.95" customHeight="1">
      <c r="A187" s="5">
        <v>0</v>
      </c>
      <c r="B187" s="6" t="s">
        <v>1251</v>
      </c>
      <c r="C187" s="7">
        <v>2054</v>
      </c>
      <c r="D187" s="8" t="s">
        <v>1252</v>
      </c>
      <c r="E187" s="8" t="s">
        <v>1253</v>
      </c>
      <c r="F187" s="8" t="s">
        <v>1254</v>
      </c>
      <c r="G187" s="6" t="s">
        <v>66</v>
      </c>
      <c r="H187" s="6" t="s">
        <v>67</v>
      </c>
      <c r="I187" s="8" t="s">
        <v>39</v>
      </c>
      <c r="J187" s="9">
        <v>1</v>
      </c>
      <c r="K187" s="9">
        <v>400</v>
      </c>
      <c r="L187" s="9">
        <v>2024</v>
      </c>
      <c r="M187" s="8" t="s">
        <v>1255</v>
      </c>
      <c r="N187" s="8" t="s">
        <v>41</v>
      </c>
      <c r="O187" s="8" t="s">
        <v>42</v>
      </c>
      <c r="P187" s="6" t="s">
        <v>70</v>
      </c>
      <c r="Q187" s="8" t="s">
        <v>44</v>
      </c>
      <c r="R187" s="10" t="s">
        <v>258</v>
      </c>
      <c r="S187" s="11" t="s">
        <v>1256</v>
      </c>
      <c r="T187" s="6"/>
      <c r="U187" s="28" t="str">
        <f>HYPERLINK("https://media.infra-m.ru/2104/2104857/cover/2104857.jpg", "Обложка")</f>
        <v>Обложка</v>
      </c>
      <c r="V187" s="28" t="str">
        <f>HYPERLINK("https://znanium.ru/catalog/product/1939109", "Ознакомиться")</f>
        <v>Ознакомиться</v>
      </c>
      <c r="W187" s="8" t="s">
        <v>410</v>
      </c>
      <c r="X187" s="6"/>
      <c r="Y187" s="6"/>
      <c r="Z187" s="6"/>
      <c r="AA187" s="6" t="s">
        <v>213</v>
      </c>
    </row>
    <row r="188" spans="1:27" s="4" customFormat="1" ht="51.95" customHeight="1">
      <c r="A188" s="5">
        <v>0</v>
      </c>
      <c r="B188" s="6" t="s">
        <v>1257</v>
      </c>
      <c r="C188" s="7">
        <v>1500</v>
      </c>
      <c r="D188" s="8" t="s">
        <v>1258</v>
      </c>
      <c r="E188" s="8" t="s">
        <v>1246</v>
      </c>
      <c r="F188" s="8" t="s">
        <v>1259</v>
      </c>
      <c r="G188" s="6" t="s">
        <v>66</v>
      </c>
      <c r="H188" s="6" t="s">
        <v>67</v>
      </c>
      <c r="I188" s="8" t="s">
        <v>39</v>
      </c>
      <c r="J188" s="9">
        <v>1</v>
      </c>
      <c r="K188" s="9">
        <v>533</v>
      </c>
      <c r="L188" s="9">
        <v>2018</v>
      </c>
      <c r="M188" s="8" t="s">
        <v>1260</v>
      </c>
      <c r="N188" s="8" t="s">
        <v>41</v>
      </c>
      <c r="O188" s="8" t="s">
        <v>42</v>
      </c>
      <c r="P188" s="6" t="s">
        <v>70</v>
      </c>
      <c r="Q188" s="8" t="s">
        <v>44</v>
      </c>
      <c r="R188" s="10" t="s">
        <v>258</v>
      </c>
      <c r="S188" s="11" t="s">
        <v>1256</v>
      </c>
      <c r="T188" s="6"/>
      <c r="U188" s="28" t="str">
        <f>HYPERLINK("https://media.infra-m.ru/0954/0954457/cover/954457.jpg", "Обложка")</f>
        <v>Обложка</v>
      </c>
      <c r="V188" s="28" t="str">
        <f>HYPERLINK("https://znanium.ru/catalog/product/1939109", "Ознакомиться")</f>
        <v>Ознакомиться</v>
      </c>
      <c r="W188" s="8" t="s">
        <v>410</v>
      </c>
      <c r="X188" s="6"/>
      <c r="Y188" s="6"/>
      <c r="Z188" s="6"/>
      <c r="AA188" s="6" t="s">
        <v>710</v>
      </c>
    </row>
    <row r="189" spans="1:27" s="4" customFormat="1" ht="51.95" customHeight="1">
      <c r="A189" s="5">
        <v>0</v>
      </c>
      <c r="B189" s="6" t="s">
        <v>1261</v>
      </c>
      <c r="C189" s="7">
        <v>2050</v>
      </c>
      <c r="D189" s="8" t="s">
        <v>1262</v>
      </c>
      <c r="E189" s="8" t="s">
        <v>1263</v>
      </c>
      <c r="F189" s="8" t="s">
        <v>1264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397</v>
      </c>
      <c r="L189" s="9">
        <v>2022</v>
      </c>
      <c r="M189" s="8" t="s">
        <v>1265</v>
      </c>
      <c r="N189" s="8" t="s">
        <v>41</v>
      </c>
      <c r="O189" s="8" t="s">
        <v>42</v>
      </c>
      <c r="P189" s="6" t="s">
        <v>70</v>
      </c>
      <c r="Q189" s="8" t="s">
        <v>44</v>
      </c>
      <c r="R189" s="10" t="s">
        <v>258</v>
      </c>
      <c r="S189" s="11" t="s">
        <v>1266</v>
      </c>
      <c r="T189" s="6"/>
      <c r="U189" s="28" t="str">
        <f>HYPERLINK("https://media.infra-m.ru/1854/1854580/cover/1854580.jpg", "Обложка")</f>
        <v>Обложка</v>
      </c>
      <c r="V189" s="28" t="str">
        <f>HYPERLINK("https://znanium.ru/catalog/product/1854580", "Ознакомиться")</f>
        <v>Ознакомиться</v>
      </c>
      <c r="W189" s="8" t="s">
        <v>410</v>
      </c>
      <c r="X189" s="6"/>
      <c r="Y189" s="6"/>
      <c r="Z189" s="6"/>
      <c r="AA189" s="6" t="s">
        <v>227</v>
      </c>
    </row>
    <row r="190" spans="1:27" s="4" customFormat="1" ht="51.95" customHeight="1">
      <c r="A190" s="5">
        <v>0</v>
      </c>
      <c r="B190" s="6" t="s">
        <v>1267</v>
      </c>
      <c r="C190" s="7">
        <v>1050</v>
      </c>
      <c r="D190" s="8" t="s">
        <v>1268</v>
      </c>
      <c r="E190" s="8" t="s">
        <v>1269</v>
      </c>
      <c r="F190" s="8" t="s">
        <v>1270</v>
      </c>
      <c r="G190" s="6" t="s">
        <v>66</v>
      </c>
      <c r="H190" s="6" t="s">
        <v>173</v>
      </c>
      <c r="I190" s="8" t="s">
        <v>68</v>
      </c>
      <c r="J190" s="9">
        <v>1</v>
      </c>
      <c r="K190" s="9">
        <v>205</v>
      </c>
      <c r="L190" s="9">
        <v>2022</v>
      </c>
      <c r="M190" s="8" t="s">
        <v>1271</v>
      </c>
      <c r="N190" s="8" t="s">
        <v>108</v>
      </c>
      <c r="O190" s="8" t="s">
        <v>109</v>
      </c>
      <c r="P190" s="6" t="s">
        <v>70</v>
      </c>
      <c r="Q190" s="8" t="s">
        <v>71</v>
      </c>
      <c r="R190" s="10" t="s">
        <v>491</v>
      </c>
      <c r="S190" s="11" t="s">
        <v>1272</v>
      </c>
      <c r="T190" s="6"/>
      <c r="U190" s="28" t="str">
        <f>HYPERLINK("https://media.infra-m.ru/1845/1845902/cover/1845902.jpg", "Обложка")</f>
        <v>Обложка</v>
      </c>
      <c r="V190" s="28" t="str">
        <f>HYPERLINK("https://znanium.ru/catalog/product/1845902", "Ознакомиться")</f>
        <v>Ознакомиться</v>
      </c>
      <c r="W190" s="8" t="s">
        <v>691</v>
      </c>
      <c r="X190" s="6"/>
      <c r="Y190" s="6"/>
      <c r="Z190" s="6" t="s">
        <v>132</v>
      </c>
      <c r="AA190" s="6" t="s">
        <v>126</v>
      </c>
    </row>
    <row r="191" spans="1:27" s="4" customFormat="1" ht="44.1" customHeight="1">
      <c r="A191" s="5">
        <v>0</v>
      </c>
      <c r="B191" s="6" t="s">
        <v>1273</v>
      </c>
      <c r="C191" s="7">
        <v>1274</v>
      </c>
      <c r="D191" s="8" t="s">
        <v>1274</v>
      </c>
      <c r="E191" s="8" t="s">
        <v>1269</v>
      </c>
      <c r="F191" s="8" t="s">
        <v>1275</v>
      </c>
      <c r="G191" s="6" t="s">
        <v>37</v>
      </c>
      <c r="H191" s="6" t="s">
        <v>173</v>
      </c>
      <c r="I191" s="8" t="s">
        <v>39</v>
      </c>
      <c r="J191" s="9">
        <v>1</v>
      </c>
      <c r="K191" s="9">
        <v>208</v>
      </c>
      <c r="L191" s="9">
        <v>2024</v>
      </c>
      <c r="M191" s="8" t="s">
        <v>1276</v>
      </c>
      <c r="N191" s="8" t="s">
        <v>108</v>
      </c>
      <c r="O191" s="8" t="s">
        <v>109</v>
      </c>
      <c r="P191" s="6" t="s">
        <v>70</v>
      </c>
      <c r="Q191" s="8" t="s">
        <v>44</v>
      </c>
      <c r="R191" s="10" t="s">
        <v>1277</v>
      </c>
      <c r="S191" s="11"/>
      <c r="T191" s="6"/>
      <c r="U191" s="28" t="str">
        <f>HYPERLINK("https://media.infra-m.ru/2142/2142823/cover/2142823.jpg", "Обложка")</f>
        <v>Обложка</v>
      </c>
      <c r="V191" s="28" t="str">
        <f>HYPERLINK("https://znanium.ru/catalog/product/1374599", "Ознакомиться")</f>
        <v>Ознакомиться</v>
      </c>
      <c r="W191" s="8" t="s">
        <v>691</v>
      </c>
      <c r="X191" s="6"/>
      <c r="Y191" s="6"/>
      <c r="Z191" s="6"/>
      <c r="AA191" s="6" t="s">
        <v>289</v>
      </c>
    </row>
    <row r="192" spans="1:27" s="4" customFormat="1" ht="51.95" customHeight="1">
      <c r="A192" s="5">
        <v>0</v>
      </c>
      <c r="B192" s="6" t="s">
        <v>1278</v>
      </c>
      <c r="C192" s="7">
        <v>1534</v>
      </c>
      <c r="D192" s="8" t="s">
        <v>1279</v>
      </c>
      <c r="E192" s="8" t="s">
        <v>1280</v>
      </c>
      <c r="F192" s="8" t="s">
        <v>1281</v>
      </c>
      <c r="G192" s="6" t="s">
        <v>66</v>
      </c>
      <c r="H192" s="6" t="s">
        <v>67</v>
      </c>
      <c r="I192" s="8" t="s">
        <v>39</v>
      </c>
      <c r="J192" s="9">
        <v>1</v>
      </c>
      <c r="K192" s="9">
        <v>333</v>
      </c>
      <c r="L192" s="9">
        <v>2024</v>
      </c>
      <c r="M192" s="8" t="s">
        <v>1282</v>
      </c>
      <c r="N192" s="8" t="s">
        <v>41</v>
      </c>
      <c r="O192" s="8" t="s">
        <v>42</v>
      </c>
      <c r="P192" s="6" t="s">
        <v>43</v>
      </c>
      <c r="Q192" s="8" t="s">
        <v>44</v>
      </c>
      <c r="R192" s="10" t="s">
        <v>1283</v>
      </c>
      <c r="S192" s="11" t="s">
        <v>1284</v>
      </c>
      <c r="T192" s="6"/>
      <c r="U192" s="28" t="str">
        <f>HYPERLINK("https://media.infra-m.ru/2122/2122491/cover/2122491.jpg", "Обложка")</f>
        <v>Обложка</v>
      </c>
      <c r="V192" s="28" t="str">
        <f>HYPERLINK("https://znanium.ru/catalog/product/1112970", "Ознакомиться")</f>
        <v>Ознакомиться</v>
      </c>
      <c r="W192" s="8" t="s">
        <v>369</v>
      </c>
      <c r="X192" s="6"/>
      <c r="Y192" s="6"/>
      <c r="Z192" s="6"/>
      <c r="AA192" s="6" t="s">
        <v>157</v>
      </c>
    </row>
    <row r="193" spans="1:27" s="4" customFormat="1" ht="51.95" customHeight="1">
      <c r="A193" s="5">
        <v>0</v>
      </c>
      <c r="B193" s="6" t="s">
        <v>1285</v>
      </c>
      <c r="C193" s="7">
        <v>1991</v>
      </c>
      <c r="D193" s="8" t="s">
        <v>1286</v>
      </c>
      <c r="E193" s="8" t="s">
        <v>1287</v>
      </c>
      <c r="F193" s="8"/>
      <c r="G193" s="6" t="s">
        <v>53</v>
      </c>
      <c r="H193" s="6" t="s">
        <v>38</v>
      </c>
      <c r="I193" s="8"/>
      <c r="J193" s="9">
        <v>1</v>
      </c>
      <c r="K193" s="9">
        <v>100</v>
      </c>
      <c r="L193" s="9">
        <v>2020</v>
      </c>
      <c r="M193" s="8"/>
      <c r="N193" s="8" t="s">
        <v>41</v>
      </c>
      <c r="O193" s="8" t="s">
        <v>42</v>
      </c>
      <c r="P193" s="6" t="s">
        <v>1288</v>
      </c>
      <c r="Q193" s="8" t="s">
        <v>111</v>
      </c>
      <c r="R193" s="10" t="s">
        <v>1289</v>
      </c>
      <c r="S193" s="11"/>
      <c r="T193" s="6"/>
      <c r="U193" s="28" t="str">
        <f>HYPERLINK("https://media.infra-m.ru/1074/1074464/cover/1074464.jpg", "Обложка")</f>
        <v>Обложка</v>
      </c>
      <c r="V193" s="28" t="str">
        <f>HYPERLINK("https://znanium.ru/catalog/product/1074464", "Ознакомиться")</f>
        <v>Ознакомиться</v>
      </c>
      <c r="W193" s="8"/>
      <c r="X193" s="6"/>
      <c r="Y193" s="6"/>
      <c r="Z193" s="6"/>
      <c r="AA193" s="6"/>
    </row>
    <row r="194" spans="1:27" s="4" customFormat="1" ht="51.95" customHeight="1">
      <c r="A194" s="5">
        <v>0</v>
      </c>
      <c r="B194" s="6" t="s">
        <v>1290</v>
      </c>
      <c r="C194" s="7">
        <v>1150</v>
      </c>
      <c r="D194" s="8" t="s">
        <v>1291</v>
      </c>
      <c r="E194" s="8" t="s">
        <v>1292</v>
      </c>
      <c r="F194" s="8" t="s">
        <v>1293</v>
      </c>
      <c r="G194" s="6" t="s">
        <v>66</v>
      </c>
      <c r="H194" s="6" t="s">
        <v>67</v>
      </c>
      <c r="I194" s="8" t="s">
        <v>54</v>
      </c>
      <c r="J194" s="9">
        <v>1</v>
      </c>
      <c r="K194" s="9">
        <v>238</v>
      </c>
      <c r="L194" s="9">
        <v>2024</v>
      </c>
      <c r="M194" s="8" t="s">
        <v>1294</v>
      </c>
      <c r="N194" s="8" t="s">
        <v>41</v>
      </c>
      <c r="O194" s="8" t="s">
        <v>42</v>
      </c>
      <c r="P194" s="6" t="s">
        <v>43</v>
      </c>
      <c r="Q194" s="8" t="s">
        <v>44</v>
      </c>
      <c r="R194" s="10" t="s">
        <v>1295</v>
      </c>
      <c r="S194" s="11" t="s">
        <v>1296</v>
      </c>
      <c r="T194" s="6"/>
      <c r="U194" s="28" t="str">
        <f>HYPERLINK("https://media.infra-m.ru/2147/2147930/cover/2147930.jpg", "Обложка")</f>
        <v>Обложка</v>
      </c>
      <c r="V194" s="28" t="str">
        <f>HYPERLINK("https://znanium.ru/catalog/product/2147930", "Ознакомиться")</f>
        <v>Ознакомиться</v>
      </c>
      <c r="W194" s="8" t="s">
        <v>691</v>
      </c>
      <c r="X194" s="6"/>
      <c r="Y194" s="6"/>
      <c r="Z194" s="6"/>
      <c r="AA194" s="6" t="s">
        <v>422</v>
      </c>
    </row>
    <row r="195" spans="1:27" s="4" customFormat="1" ht="51.95" customHeight="1">
      <c r="A195" s="5">
        <v>0</v>
      </c>
      <c r="B195" s="6" t="s">
        <v>1297</v>
      </c>
      <c r="C195" s="7">
        <v>1034</v>
      </c>
      <c r="D195" s="8" t="s">
        <v>1298</v>
      </c>
      <c r="E195" s="8" t="s">
        <v>1299</v>
      </c>
      <c r="F195" s="8" t="s">
        <v>1300</v>
      </c>
      <c r="G195" s="6" t="s">
        <v>66</v>
      </c>
      <c r="H195" s="6" t="s">
        <v>67</v>
      </c>
      <c r="I195" s="8" t="s">
        <v>68</v>
      </c>
      <c r="J195" s="9">
        <v>1</v>
      </c>
      <c r="K195" s="9">
        <v>221</v>
      </c>
      <c r="L195" s="9">
        <v>2024</v>
      </c>
      <c r="M195" s="8" t="s">
        <v>1301</v>
      </c>
      <c r="N195" s="8" t="s">
        <v>41</v>
      </c>
      <c r="O195" s="8" t="s">
        <v>42</v>
      </c>
      <c r="P195" s="6" t="s">
        <v>43</v>
      </c>
      <c r="Q195" s="8" t="s">
        <v>71</v>
      </c>
      <c r="R195" s="10" t="s">
        <v>72</v>
      </c>
      <c r="S195" s="11" t="s">
        <v>1302</v>
      </c>
      <c r="T195" s="6"/>
      <c r="U195" s="28" t="str">
        <f>HYPERLINK("https://media.infra-m.ru/2139/2139216/cover/2139216.jpg", "Обложка")</f>
        <v>Обложка</v>
      </c>
      <c r="V195" s="28" t="str">
        <f>HYPERLINK("https://znanium.ru/catalog/product/1843204", "Ознакомиться")</f>
        <v>Ознакомиться</v>
      </c>
      <c r="W195" s="8" t="s">
        <v>74</v>
      </c>
      <c r="X195" s="6"/>
      <c r="Y195" s="6"/>
      <c r="Z195" s="6"/>
      <c r="AA195" s="6" t="s">
        <v>252</v>
      </c>
    </row>
    <row r="196" spans="1:27" s="4" customFormat="1" ht="51.95" customHeight="1">
      <c r="A196" s="5">
        <v>0</v>
      </c>
      <c r="B196" s="6" t="s">
        <v>1303</v>
      </c>
      <c r="C196" s="13">
        <v>510</v>
      </c>
      <c r="D196" s="8" t="s">
        <v>1304</v>
      </c>
      <c r="E196" s="8" t="s">
        <v>1305</v>
      </c>
      <c r="F196" s="8" t="s">
        <v>172</v>
      </c>
      <c r="G196" s="6" t="s">
        <v>53</v>
      </c>
      <c r="H196" s="6" t="s">
        <v>67</v>
      </c>
      <c r="I196" s="8" t="s">
        <v>54</v>
      </c>
      <c r="J196" s="9">
        <v>1</v>
      </c>
      <c r="K196" s="9">
        <v>88</v>
      </c>
      <c r="L196" s="9">
        <v>2024</v>
      </c>
      <c r="M196" s="8" t="s">
        <v>1306</v>
      </c>
      <c r="N196" s="8" t="s">
        <v>108</v>
      </c>
      <c r="O196" s="8" t="s">
        <v>109</v>
      </c>
      <c r="P196" s="6" t="s">
        <v>43</v>
      </c>
      <c r="Q196" s="8" t="s">
        <v>56</v>
      </c>
      <c r="R196" s="10" t="s">
        <v>367</v>
      </c>
      <c r="S196" s="11" t="s">
        <v>1307</v>
      </c>
      <c r="T196" s="6"/>
      <c r="U196" s="28" t="str">
        <f>HYPERLINK("https://media.infra-m.ru/1871/1871529/cover/1871529.jpg", "Обложка")</f>
        <v>Обложка</v>
      </c>
      <c r="V196" s="28" t="str">
        <f>HYPERLINK("https://znanium.ru/catalog/product/1871529", "Ознакомиться")</f>
        <v>Ознакомиться</v>
      </c>
      <c r="W196" s="8" t="s">
        <v>176</v>
      </c>
      <c r="X196" s="6"/>
      <c r="Y196" s="6"/>
      <c r="Z196" s="6"/>
      <c r="AA196" s="6" t="s">
        <v>157</v>
      </c>
    </row>
    <row r="197" spans="1:27" s="4" customFormat="1" ht="51.95" customHeight="1">
      <c r="A197" s="5">
        <v>0</v>
      </c>
      <c r="B197" s="6" t="s">
        <v>1308</v>
      </c>
      <c r="C197" s="13">
        <v>274.89999999999998</v>
      </c>
      <c r="D197" s="8" t="s">
        <v>1309</v>
      </c>
      <c r="E197" s="8" t="s">
        <v>1310</v>
      </c>
      <c r="F197" s="8" t="s">
        <v>1311</v>
      </c>
      <c r="G197" s="6" t="s">
        <v>53</v>
      </c>
      <c r="H197" s="6" t="s">
        <v>67</v>
      </c>
      <c r="I197" s="8" t="s">
        <v>39</v>
      </c>
      <c r="J197" s="9">
        <v>1</v>
      </c>
      <c r="K197" s="9">
        <v>61</v>
      </c>
      <c r="L197" s="9">
        <v>2023</v>
      </c>
      <c r="M197" s="8" t="s">
        <v>1312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330</v>
      </c>
      <c r="S197" s="11" t="s">
        <v>1313</v>
      </c>
      <c r="T197" s="6"/>
      <c r="U197" s="28" t="str">
        <f>HYPERLINK("https://media.infra-m.ru/1911/1911810/cover/1911810.jpg", "Обложка")</f>
        <v>Обложка</v>
      </c>
      <c r="V197" s="28" t="str">
        <f>HYPERLINK("https://znanium.ru/catalog/product/915966", "Ознакомиться")</f>
        <v>Ознакомиться</v>
      </c>
      <c r="W197" s="8" t="s">
        <v>1314</v>
      </c>
      <c r="X197" s="6"/>
      <c r="Y197" s="6"/>
      <c r="Z197" s="6"/>
      <c r="AA197" s="6" t="s">
        <v>157</v>
      </c>
    </row>
    <row r="198" spans="1:27" s="4" customFormat="1" ht="51.95" customHeight="1">
      <c r="A198" s="5">
        <v>0</v>
      </c>
      <c r="B198" s="6" t="s">
        <v>1315</v>
      </c>
      <c r="C198" s="13">
        <v>514</v>
      </c>
      <c r="D198" s="8" t="s">
        <v>1316</v>
      </c>
      <c r="E198" s="8" t="s">
        <v>1317</v>
      </c>
      <c r="F198" s="8" t="s">
        <v>172</v>
      </c>
      <c r="G198" s="6" t="s">
        <v>53</v>
      </c>
      <c r="H198" s="6" t="s">
        <v>173</v>
      </c>
      <c r="I198" s="8" t="s">
        <v>95</v>
      </c>
      <c r="J198" s="9">
        <v>1</v>
      </c>
      <c r="K198" s="9">
        <v>112</v>
      </c>
      <c r="L198" s="9">
        <v>2024</v>
      </c>
      <c r="M198" s="8" t="s">
        <v>1318</v>
      </c>
      <c r="N198" s="8" t="s">
        <v>108</v>
      </c>
      <c r="O198" s="8" t="s">
        <v>109</v>
      </c>
      <c r="P198" s="6" t="s">
        <v>43</v>
      </c>
      <c r="Q198" s="8" t="s">
        <v>97</v>
      </c>
      <c r="R198" s="10" t="s">
        <v>175</v>
      </c>
      <c r="S198" s="11" t="s">
        <v>1319</v>
      </c>
      <c r="T198" s="6"/>
      <c r="U198" s="28" t="str">
        <f>HYPERLINK("https://media.infra-m.ru/2120/2120781/cover/2120781.jpg", "Обложка")</f>
        <v>Обложка</v>
      </c>
      <c r="V198" s="28" t="str">
        <f>HYPERLINK("https://znanium.ru/catalog/product/1072227", "Ознакомиться")</f>
        <v>Ознакомиться</v>
      </c>
      <c r="W198" s="8" t="s">
        <v>176</v>
      </c>
      <c r="X198" s="6"/>
      <c r="Y198" s="6"/>
      <c r="Z198" s="6"/>
      <c r="AA198" s="6" t="s">
        <v>157</v>
      </c>
    </row>
    <row r="199" spans="1:27" s="4" customFormat="1" ht="42" customHeight="1">
      <c r="A199" s="5">
        <v>0</v>
      </c>
      <c r="B199" s="6" t="s">
        <v>1320</v>
      </c>
      <c r="C199" s="13">
        <v>580</v>
      </c>
      <c r="D199" s="8" t="s">
        <v>1321</v>
      </c>
      <c r="E199" s="8" t="s">
        <v>1322</v>
      </c>
      <c r="F199" s="8" t="s">
        <v>1323</v>
      </c>
      <c r="G199" s="6" t="s">
        <v>53</v>
      </c>
      <c r="H199" s="6" t="s">
        <v>67</v>
      </c>
      <c r="I199" s="8" t="s">
        <v>106</v>
      </c>
      <c r="J199" s="9">
        <v>1</v>
      </c>
      <c r="K199" s="9">
        <v>124</v>
      </c>
      <c r="L199" s="9">
        <v>2024</v>
      </c>
      <c r="M199" s="8" t="s">
        <v>1324</v>
      </c>
      <c r="N199" s="8" t="s">
        <v>121</v>
      </c>
      <c r="O199" s="8" t="s">
        <v>122</v>
      </c>
      <c r="P199" s="6" t="s">
        <v>110</v>
      </c>
      <c r="Q199" s="8" t="s">
        <v>111</v>
      </c>
      <c r="R199" s="10" t="s">
        <v>1325</v>
      </c>
      <c r="S199" s="11"/>
      <c r="T199" s="6"/>
      <c r="U199" s="28" t="str">
        <f>HYPERLINK("https://media.infra-m.ru/2117/2117123/cover/2117123.jpg", "Обложка")</f>
        <v>Обложка</v>
      </c>
      <c r="V199" s="28" t="str">
        <f>HYPERLINK("https://znanium.ru/catalog/product/2117123", "Ознакомиться")</f>
        <v>Ознакомиться</v>
      </c>
      <c r="W199" s="8" t="s">
        <v>1102</v>
      </c>
      <c r="X199" s="6"/>
      <c r="Y199" s="6"/>
      <c r="Z199" s="6"/>
      <c r="AA199" s="6" t="s">
        <v>157</v>
      </c>
    </row>
    <row r="200" spans="1:27" s="4" customFormat="1" ht="51.95" customHeight="1">
      <c r="A200" s="5">
        <v>0</v>
      </c>
      <c r="B200" s="6" t="s">
        <v>1326</v>
      </c>
      <c r="C200" s="13">
        <v>794.9</v>
      </c>
      <c r="D200" s="8" t="s">
        <v>1327</v>
      </c>
      <c r="E200" s="8" t="s">
        <v>1328</v>
      </c>
      <c r="F200" s="8" t="s">
        <v>1329</v>
      </c>
      <c r="G200" s="6" t="s">
        <v>53</v>
      </c>
      <c r="H200" s="6" t="s">
        <v>173</v>
      </c>
      <c r="I200" s="8" t="s">
        <v>39</v>
      </c>
      <c r="J200" s="9">
        <v>1</v>
      </c>
      <c r="K200" s="9">
        <v>176</v>
      </c>
      <c r="L200" s="9">
        <v>2023</v>
      </c>
      <c r="M200" s="8" t="s">
        <v>1330</v>
      </c>
      <c r="N200" s="8" t="s">
        <v>41</v>
      </c>
      <c r="O200" s="8" t="s">
        <v>42</v>
      </c>
      <c r="P200" s="6" t="s">
        <v>43</v>
      </c>
      <c r="Q200" s="8" t="s">
        <v>44</v>
      </c>
      <c r="R200" s="10" t="s">
        <v>224</v>
      </c>
      <c r="S200" s="11" t="s">
        <v>1331</v>
      </c>
      <c r="T200" s="6"/>
      <c r="U200" s="28" t="str">
        <f>HYPERLINK("https://media.infra-m.ru/1893/1893659/cover/1893659.jpg", "Обложка")</f>
        <v>Обложка</v>
      </c>
      <c r="V200" s="28" t="str">
        <f>HYPERLINK("https://znanium.ru/catalog/product/982630", "Ознакомиться")</f>
        <v>Ознакомиться</v>
      </c>
      <c r="W200" s="8" t="s">
        <v>1332</v>
      </c>
      <c r="X200" s="6"/>
      <c r="Y200" s="6"/>
      <c r="Z200" s="6"/>
      <c r="AA200" s="6" t="s">
        <v>177</v>
      </c>
    </row>
    <row r="201" spans="1:27" s="4" customFormat="1" ht="44.1" customHeight="1">
      <c r="A201" s="5">
        <v>0</v>
      </c>
      <c r="B201" s="6" t="s">
        <v>1333</v>
      </c>
      <c r="C201" s="7">
        <v>1100</v>
      </c>
      <c r="D201" s="8" t="s">
        <v>1334</v>
      </c>
      <c r="E201" s="8" t="s">
        <v>1335</v>
      </c>
      <c r="F201" s="8" t="s">
        <v>1336</v>
      </c>
      <c r="G201" s="6" t="s">
        <v>53</v>
      </c>
      <c r="H201" s="6" t="s">
        <v>67</v>
      </c>
      <c r="I201" s="8" t="s">
        <v>106</v>
      </c>
      <c r="J201" s="9">
        <v>1</v>
      </c>
      <c r="K201" s="9">
        <v>301</v>
      </c>
      <c r="L201" s="9">
        <v>2021</v>
      </c>
      <c r="M201" s="8" t="s">
        <v>1337</v>
      </c>
      <c r="N201" s="8" t="s">
        <v>41</v>
      </c>
      <c r="O201" s="8" t="s">
        <v>42</v>
      </c>
      <c r="P201" s="6" t="s">
        <v>110</v>
      </c>
      <c r="Q201" s="8" t="s">
        <v>111</v>
      </c>
      <c r="R201" s="10" t="s">
        <v>478</v>
      </c>
      <c r="S201" s="11"/>
      <c r="T201" s="6"/>
      <c r="U201" s="28" t="str">
        <f>HYPERLINK("https://media.infra-m.ru/1146/1146805/cover/1146805.jpg", "Обложка")</f>
        <v>Обложка</v>
      </c>
      <c r="V201" s="28" t="str">
        <f>HYPERLINK("https://znanium.ru/catalog/product/1146805", "Ознакомиться")</f>
        <v>Ознакомиться</v>
      </c>
      <c r="W201" s="8" t="s">
        <v>1338</v>
      </c>
      <c r="X201" s="6"/>
      <c r="Y201" s="6"/>
      <c r="Z201" s="6"/>
      <c r="AA201" s="6" t="s">
        <v>236</v>
      </c>
    </row>
    <row r="202" spans="1:27" s="4" customFormat="1" ht="51.95" customHeight="1">
      <c r="A202" s="5">
        <v>0</v>
      </c>
      <c r="B202" s="6" t="s">
        <v>1339</v>
      </c>
      <c r="C202" s="7">
        <v>1280</v>
      </c>
      <c r="D202" s="8" t="s">
        <v>1340</v>
      </c>
      <c r="E202" s="8" t="s">
        <v>1341</v>
      </c>
      <c r="F202" s="8" t="s">
        <v>1106</v>
      </c>
      <c r="G202" s="6" t="s">
        <v>37</v>
      </c>
      <c r="H202" s="6" t="s">
        <v>67</v>
      </c>
      <c r="I202" s="8" t="s">
        <v>1342</v>
      </c>
      <c r="J202" s="9">
        <v>1</v>
      </c>
      <c r="K202" s="9">
        <v>270</v>
      </c>
      <c r="L202" s="9">
        <v>2024</v>
      </c>
      <c r="M202" s="8" t="s">
        <v>1343</v>
      </c>
      <c r="N202" s="8" t="s">
        <v>108</v>
      </c>
      <c r="O202" s="8" t="s">
        <v>109</v>
      </c>
      <c r="P202" s="6" t="s">
        <v>43</v>
      </c>
      <c r="Q202" s="8" t="s">
        <v>56</v>
      </c>
      <c r="R202" s="10" t="s">
        <v>1344</v>
      </c>
      <c r="S202" s="11" t="s">
        <v>1345</v>
      </c>
      <c r="T202" s="6"/>
      <c r="U202" s="28" t="str">
        <f>HYPERLINK("https://media.infra-m.ru/2124/2124347/cover/2124347.jpg", "Обложка")</f>
        <v>Обложка</v>
      </c>
      <c r="V202" s="28" t="str">
        <f>HYPERLINK("https://znanium.ru/catalog/product/2124347", "Ознакомиться")</f>
        <v>Ознакомиться</v>
      </c>
      <c r="W202" s="8" t="s">
        <v>1111</v>
      </c>
      <c r="X202" s="6" t="s">
        <v>505</v>
      </c>
      <c r="Y202" s="6"/>
      <c r="Z202" s="6"/>
      <c r="AA202" s="6" t="s">
        <v>485</v>
      </c>
    </row>
    <row r="203" spans="1:27" s="4" customFormat="1" ht="51.95" customHeight="1">
      <c r="A203" s="5">
        <v>0</v>
      </c>
      <c r="B203" s="6" t="s">
        <v>1346</v>
      </c>
      <c r="C203" s="7">
        <v>1230</v>
      </c>
      <c r="D203" s="8" t="s">
        <v>1347</v>
      </c>
      <c r="E203" s="8" t="s">
        <v>1348</v>
      </c>
      <c r="F203" s="8" t="s">
        <v>1349</v>
      </c>
      <c r="G203" s="6" t="s">
        <v>66</v>
      </c>
      <c r="H203" s="6" t="s">
        <v>527</v>
      </c>
      <c r="I203" s="8" t="s">
        <v>68</v>
      </c>
      <c r="J203" s="9">
        <v>1</v>
      </c>
      <c r="K203" s="9">
        <v>266</v>
      </c>
      <c r="L203" s="9">
        <v>2024</v>
      </c>
      <c r="M203" s="8" t="s">
        <v>1350</v>
      </c>
      <c r="N203" s="8" t="s">
        <v>41</v>
      </c>
      <c r="O203" s="8" t="s">
        <v>42</v>
      </c>
      <c r="P203" s="6" t="s">
        <v>70</v>
      </c>
      <c r="Q203" s="8" t="s">
        <v>71</v>
      </c>
      <c r="R203" s="10" t="s">
        <v>1351</v>
      </c>
      <c r="S203" s="11" t="s">
        <v>1352</v>
      </c>
      <c r="T203" s="6"/>
      <c r="U203" s="28" t="str">
        <f>HYPERLINK("https://media.infra-m.ru/2099/2099967/cover/2099967.jpg", "Обложка")</f>
        <v>Обложка</v>
      </c>
      <c r="V203" s="28" t="str">
        <f>HYPERLINK("https://znanium.ru/catalog/product/2099967", "Ознакомиться")</f>
        <v>Ознакомиться</v>
      </c>
      <c r="W203" s="8" t="s">
        <v>74</v>
      </c>
      <c r="X203" s="6"/>
      <c r="Y203" s="6"/>
      <c r="Z203" s="6"/>
      <c r="AA203" s="6" t="s">
        <v>141</v>
      </c>
    </row>
    <row r="204" spans="1:27" s="4" customFormat="1" ht="42" customHeight="1">
      <c r="A204" s="5">
        <v>0</v>
      </c>
      <c r="B204" s="6" t="s">
        <v>1353</v>
      </c>
      <c r="C204" s="7">
        <v>1224.9000000000001</v>
      </c>
      <c r="D204" s="8" t="s">
        <v>1354</v>
      </c>
      <c r="E204" s="8" t="s">
        <v>1355</v>
      </c>
      <c r="F204" s="8" t="s">
        <v>497</v>
      </c>
      <c r="G204" s="6" t="s">
        <v>37</v>
      </c>
      <c r="H204" s="6" t="s">
        <v>67</v>
      </c>
      <c r="I204" s="8" t="s">
        <v>39</v>
      </c>
      <c r="J204" s="9">
        <v>1</v>
      </c>
      <c r="K204" s="9">
        <v>272</v>
      </c>
      <c r="L204" s="9">
        <v>2023</v>
      </c>
      <c r="M204" s="8" t="s">
        <v>1356</v>
      </c>
      <c r="N204" s="8" t="s">
        <v>41</v>
      </c>
      <c r="O204" s="8" t="s">
        <v>42</v>
      </c>
      <c r="P204" s="6" t="s">
        <v>43</v>
      </c>
      <c r="Q204" s="8" t="s">
        <v>44</v>
      </c>
      <c r="R204" s="10" t="s">
        <v>330</v>
      </c>
      <c r="S204" s="11"/>
      <c r="T204" s="6"/>
      <c r="U204" s="28" t="str">
        <f>HYPERLINK("https://media.infra-m.ru/2010/2010568/cover/2010568.jpg", "Обложка")</f>
        <v>Обложка</v>
      </c>
      <c r="V204" s="28" t="str">
        <f>HYPERLINK("https://znanium.ru/catalog/product/1488204", "Ознакомиться")</f>
        <v>Ознакомиться</v>
      </c>
      <c r="W204" s="8" t="s">
        <v>499</v>
      </c>
      <c r="X204" s="6"/>
      <c r="Y204" s="6"/>
      <c r="Z204" s="6"/>
      <c r="AA204" s="6" t="s">
        <v>177</v>
      </c>
    </row>
    <row r="205" spans="1:27" s="4" customFormat="1" ht="44.1" customHeight="1">
      <c r="A205" s="5">
        <v>0</v>
      </c>
      <c r="B205" s="6" t="s">
        <v>1357</v>
      </c>
      <c r="C205" s="13">
        <v>964.9</v>
      </c>
      <c r="D205" s="8" t="s">
        <v>1358</v>
      </c>
      <c r="E205" s="8" t="s">
        <v>1359</v>
      </c>
      <c r="F205" s="8" t="s">
        <v>1360</v>
      </c>
      <c r="G205" s="6" t="s">
        <v>37</v>
      </c>
      <c r="H205" s="6" t="s">
        <v>67</v>
      </c>
      <c r="I205" s="8" t="s">
        <v>39</v>
      </c>
      <c r="J205" s="9">
        <v>14</v>
      </c>
      <c r="K205" s="9">
        <v>303</v>
      </c>
      <c r="L205" s="9">
        <v>2019</v>
      </c>
      <c r="M205" s="8" t="s">
        <v>1361</v>
      </c>
      <c r="N205" s="8" t="s">
        <v>41</v>
      </c>
      <c r="O205" s="8" t="s">
        <v>42</v>
      </c>
      <c r="P205" s="6" t="s">
        <v>43</v>
      </c>
      <c r="Q205" s="8" t="s">
        <v>44</v>
      </c>
      <c r="R205" s="10" t="s">
        <v>258</v>
      </c>
      <c r="S205" s="11"/>
      <c r="T205" s="6"/>
      <c r="U205" s="12"/>
      <c r="V205" s="28" t="str">
        <f>HYPERLINK("https://znanium.ru/catalog/product/483092", "Ознакомиться")</f>
        <v>Ознакомиться</v>
      </c>
      <c r="W205" s="8" t="s">
        <v>369</v>
      </c>
      <c r="X205" s="6"/>
      <c r="Y205" s="6"/>
      <c r="Z205" s="6"/>
      <c r="AA205" s="6" t="s">
        <v>177</v>
      </c>
    </row>
    <row r="206" spans="1:27" s="4" customFormat="1" ht="51.95" customHeight="1">
      <c r="A206" s="5">
        <v>0</v>
      </c>
      <c r="B206" s="6" t="s">
        <v>1362</v>
      </c>
      <c r="C206" s="7">
        <v>1684</v>
      </c>
      <c r="D206" s="8" t="s">
        <v>1363</v>
      </c>
      <c r="E206" s="8" t="s">
        <v>1364</v>
      </c>
      <c r="F206" s="8" t="s">
        <v>1365</v>
      </c>
      <c r="G206" s="6" t="s">
        <v>37</v>
      </c>
      <c r="H206" s="6" t="s">
        <v>67</v>
      </c>
      <c r="I206" s="8" t="s">
        <v>39</v>
      </c>
      <c r="J206" s="9">
        <v>1</v>
      </c>
      <c r="K206" s="9">
        <v>375</v>
      </c>
      <c r="L206" s="9">
        <v>2023</v>
      </c>
      <c r="M206" s="8" t="s">
        <v>1366</v>
      </c>
      <c r="N206" s="8" t="s">
        <v>41</v>
      </c>
      <c r="O206" s="8" t="s">
        <v>42</v>
      </c>
      <c r="P206" s="6" t="s">
        <v>70</v>
      </c>
      <c r="Q206" s="8" t="s">
        <v>44</v>
      </c>
      <c r="R206" s="10" t="s">
        <v>330</v>
      </c>
      <c r="S206" s="11" t="s">
        <v>318</v>
      </c>
      <c r="T206" s="6"/>
      <c r="U206" s="28" t="str">
        <f>HYPERLINK("https://media.infra-m.ru/2001/2001639/cover/2001639.jpg", "Обложка")</f>
        <v>Обложка</v>
      </c>
      <c r="V206" s="28" t="str">
        <f>HYPERLINK("https://znanium.ru/catalog/product/989519", "Ознакомиться")</f>
        <v>Ознакомиться</v>
      </c>
      <c r="W206" s="8" t="s">
        <v>1367</v>
      </c>
      <c r="X206" s="6"/>
      <c r="Y206" s="6"/>
      <c r="Z206" s="6"/>
      <c r="AA206" s="6" t="s">
        <v>61</v>
      </c>
    </row>
    <row r="207" spans="1:27" s="4" customFormat="1" ht="51.95" customHeight="1">
      <c r="A207" s="5">
        <v>0</v>
      </c>
      <c r="B207" s="6" t="s">
        <v>1368</v>
      </c>
      <c r="C207" s="13">
        <v>679.9</v>
      </c>
      <c r="D207" s="8" t="s">
        <v>1369</v>
      </c>
      <c r="E207" s="8" t="s">
        <v>1370</v>
      </c>
      <c r="F207" s="8" t="s">
        <v>1371</v>
      </c>
      <c r="G207" s="6" t="s">
        <v>37</v>
      </c>
      <c r="H207" s="6" t="s">
        <v>67</v>
      </c>
      <c r="I207" s="8" t="s">
        <v>68</v>
      </c>
      <c r="J207" s="9">
        <v>20</v>
      </c>
      <c r="K207" s="9">
        <v>288</v>
      </c>
      <c r="L207" s="9">
        <v>2017</v>
      </c>
      <c r="M207" s="8" t="s">
        <v>1372</v>
      </c>
      <c r="N207" s="8" t="s">
        <v>41</v>
      </c>
      <c r="O207" s="8" t="s">
        <v>42</v>
      </c>
      <c r="P207" s="6" t="s">
        <v>70</v>
      </c>
      <c r="Q207" s="8" t="s">
        <v>71</v>
      </c>
      <c r="R207" s="10" t="s">
        <v>1373</v>
      </c>
      <c r="S207" s="11" t="s">
        <v>758</v>
      </c>
      <c r="T207" s="6"/>
      <c r="U207" s="28" t="str">
        <f>HYPERLINK("https://media.infra-m.ru/0559/0559371/cover/559371.jpg", "Обложка")</f>
        <v>Обложка</v>
      </c>
      <c r="V207" s="28" t="str">
        <f>HYPERLINK("https://znanium.ru/catalog/product/1989252", "Ознакомиться")</f>
        <v>Ознакомиться</v>
      </c>
      <c r="W207" s="8"/>
      <c r="X207" s="6"/>
      <c r="Y207" s="6" t="s">
        <v>30</v>
      </c>
      <c r="Z207" s="6"/>
      <c r="AA207" s="6" t="s">
        <v>305</v>
      </c>
    </row>
    <row r="208" spans="1:27" s="4" customFormat="1" ht="51.95" customHeight="1">
      <c r="A208" s="5">
        <v>0</v>
      </c>
      <c r="B208" s="6" t="s">
        <v>1374</v>
      </c>
      <c r="C208" s="7">
        <v>1550</v>
      </c>
      <c r="D208" s="8" t="s">
        <v>1375</v>
      </c>
      <c r="E208" s="8" t="s">
        <v>1376</v>
      </c>
      <c r="F208" s="8" t="s">
        <v>1377</v>
      </c>
      <c r="G208" s="6" t="s">
        <v>66</v>
      </c>
      <c r="H208" s="6" t="s">
        <v>67</v>
      </c>
      <c r="I208" s="8" t="s">
        <v>68</v>
      </c>
      <c r="J208" s="9">
        <v>1</v>
      </c>
      <c r="K208" s="9">
        <v>338</v>
      </c>
      <c r="L208" s="9">
        <v>2023</v>
      </c>
      <c r="M208" s="8" t="s">
        <v>1378</v>
      </c>
      <c r="N208" s="8" t="s">
        <v>41</v>
      </c>
      <c r="O208" s="8" t="s">
        <v>42</v>
      </c>
      <c r="P208" s="6" t="s">
        <v>70</v>
      </c>
      <c r="Q208" s="8" t="s">
        <v>71</v>
      </c>
      <c r="R208" s="10" t="s">
        <v>1373</v>
      </c>
      <c r="S208" s="11" t="s">
        <v>758</v>
      </c>
      <c r="T208" s="6"/>
      <c r="U208" s="28" t="str">
        <f>HYPERLINK("https://media.infra-m.ru/1989/1989252/cover/1989252.jpg", "Обложка")</f>
        <v>Обложка</v>
      </c>
      <c r="V208" s="28" t="str">
        <f>HYPERLINK("https://znanium.ru/catalog/product/1989252", "Ознакомиться")</f>
        <v>Ознакомиться</v>
      </c>
      <c r="W208" s="8"/>
      <c r="X208" s="6"/>
      <c r="Y208" s="6" t="s">
        <v>30</v>
      </c>
      <c r="Z208" s="6"/>
      <c r="AA208" s="6" t="s">
        <v>537</v>
      </c>
    </row>
    <row r="209" spans="1:27" s="4" customFormat="1" ht="51.95" customHeight="1">
      <c r="A209" s="5">
        <v>0</v>
      </c>
      <c r="B209" s="6" t="s">
        <v>1379</v>
      </c>
      <c r="C209" s="7">
        <v>1360</v>
      </c>
      <c r="D209" s="8" t="s">
        <v>1380</v>
      </c>
      <c r="E209" s="8" t="s">
        <v>1381</v>
      </c>
      <c r="F209" s="8" t="s">
        <v>1053</v>
      </c>
      <c r="G209" s="6" t="s">
        <v>66</v>
      </c>
      <c r="H209" s="6" t="s">
        <v>67</v>
      </c>
      <c r="I209" s="8" t="s">
        <v>68</v>
      </c>
      <c r="J209" s="9">
        <v>1</v>
      </c>
      <c r="K209" s="9">
        <v>359</v>
      </c>
      <c r="L209" s="9">
        <v>2022</v>
      </c>
      <c r="M209" s="8" t="s">
        <v>1382</v>
      </c>
      <c r="N209" s="8" t="s">
        <v>41</v>
      </c>
      <c r="O209" s="8" t="s">
        <v>42</v>
      </c>
      <c r="P209" s="6" t="s">
        <v>43</v>
      </c>
      <c r="Q209" s="8" t="s">
        <v>71</v>
      </c>
      <c r="R209" s="10" t="s">
        <v>1383</v>
      </c>
      <c r="S209" s="11" t="s">
        <v>1384</v>
      </c>
      <c r="T209" s="6"/>
      <c r="U209" s="28" t="str">
        <f>HYPERLINK("https://media.infra-m.ru/1860/1860099/cover/1860099.jpg", "Обложка")</f>
        <v>Обложка</v>
      </c>
      <c r="V209" s="28" t="str">
        <f>HYPERLINK("https://znanium.ru/catalog/product/1860099", "Ознакомиться")</f>
        <v>Ознакомиться</v>
      </c>
      <c r="W209" s="8" t="s">
        <v>1056</v>
      </c>
      <c r="X209" s="6"/>
      <c r="Y209" s="6"/>
      <c r="Z209" s="6" t="s">
        <v>594</v>
      </c>
      <c r="AA209" s="6" t="s">
        <v>101</v>
      </c>
    </row>
    <row r="210" spans="1:27" s="4" customFormat="1" ht="51.95" customHeight="1">
      <c r="A210" s="5">
        <v>0</v>
      </c>
      <c r="B210" s="6" t="s">
        <v>1385</v>
      </c>
      <c r="C210" s="7">
        <v>1624.9</v>
      </c>
      <c r="D210" s="8" t="s">
        <v>1386</v>
      </c>
      <c r="E210" s="8" t="s">
        <v>1381</v>
      </c>
      <c r="F210" s="8" t="s">
        <v>1053</v>
      </c>
      <c r="G210" s="6" t="s">
        <v>66</v>
      </c>
      <c r="H210" s="6" t="s">
        <v>67</v>
      </c>
      <c r="I210" s="8" t="s">
        <v>1387</v>
      </c>
      <c r="J210" s="9">
        <v>1</v>
      </c>
      <c r="K210" s="9">
        <v>360</v>
      </c>
      <c r="L210" s="9">
        <v>2023</v>
      </c>
      <c r="M210" s="8" t="s">
        <v>1388</v>
      </c>
      <c r="N210" s="8" t="s">
        <v>41</v>
      </c>
      <c r="O210" s="8" t="s">
        <v>42</v>
      </c>
      <c r="P210" s="6" t="s">
        <v>43</v>
      </c>
      <c r="Q210" s="8" t="s">
        <v>56</v>
      </c>
      <c r="R210" s="10" t="s">
        <v>1389</v>
      </c>
      <c r="S210" s="11" t="s">
        <v>1390</v>
      </c>
      <c r="T210" s="6" t="s">
        <v>59</v>
      </c>
      <c r="U210" s="28" t="str">
        <f>HYPERLINK("https://media.infra-m.ru/1895/1895496/cover/1895496.jpg", "Обложка")</f>
        <v>Обложка</v>
      </c>
      <c r="V210" s="28" t="str">
        <f>HYPERLINK("https://znanium.ru/catalog/product/1895496", "Ознакомиться")</f>
        <v>Ознакомиться</v>
      </c>
      <c r="W210" s="8" t="s">
        <v>1056</v>
      </c>
      <c r="X210" s="6"/>
      <c r="Y210" s="6" t="s">
        <v>30</v>
      </c>
      <c r="Z210" s="6"/>
      <c r="AA210" s="6" t="s">
        <v>126</v>
      </c>
    </row>
    <row r="211" spans="1:27" s="4" customFormat="1" ht="51.95" customHeight="1">
      <c r="A211" s="5">
        <v>0</v>
      </c>
      <c r="B211" s="6" t="s">
        <v>1391</v>
      </c>
      <c r="C211" s="7">
        <v>1884</v>
      </c>
      <c r="D211" s="8" t="s">
        <v>1392</v>
      </c>
      <c r="E211" s="8" t="s">
        <v>1393</v>
      </c>
      <c r="F211" s="8" t="s">
        <v>1394</v>
      </c>
      <c r="G211" s="6" t="s">
        <v>66</v>
      </c>
      <c r="H211" s="6" t="s">
        <v>67</v>
      </c>
      <c r="I211" s="8" t="s">
        <v>68</v>
      </c>
      <c r="J211" s="9">
        <v>1</v>
      </c>
      <c r="K211" s="9">
        <v>400</v>
      </c>
      <c r="L211" s="9">
        <v>2024</v>
      </c>
      <c r="M211" s="8" t="s">
        <v>1395</v>
      </c>
      <c r="N211" s="8" t="s">
        <v>41</v>
      </c>
      <c r="O211" s="8" t="s">
        <v>42</v>
      </c>
      <c r="P211" s="6" t="s">
        <v>70</v>
      </c>
      <c r="Q211" s="8" t="s">
        <v>71</v>
      </c>
      <c r="R211" s="10" t="s">
        <v>1396</v>
      </c>
      <c r="S211" s="11" t="s">
        <v>1397</v>
      </c>
      <c r="T211" s="6"/>
      <c r="U211" s="28" t="str">
        <f>HYPERLINK("https://media.infra-m.ru/2008/2008782/cover/2008782.jpg", "Обложка")</f>
        <v>Обложка</v>
      </c>
      <c r="V211" s="28" t="str">
        <f>HYPERLINK("https://znanium.ru/catalog/product/1836103", "Ознакомиться")</f>
        <v>Ознакомиться</v>
      </c>
      <c r="W211" s="8" t="s">
        <v>140</v>
      </c>
      <c r="X211" s="6"/>
      <c r="Y211" s="6"/>
      <c r="Z211" s="6"/>
      <c r="AA211" s="6" t="s">
        <v>531</v>
      </c>
    </row>
    <row r="212" spans="1:27" s="4" customFormat="1" ht="42" customHeight="1">
      <c r="A212" s="5">
        <v>0</v>
      </c>
      <c r="B212" s="6" t="s">
        <v>1398</v>
      </c>
      <c r="C212" s="7">
        <v>1160</v>
      </c>
      <c r="D212" s="8" t="s">
        <v>1399</v>
      </c>
      <c r="E212" s="8" t="s">
        <v>1400</v>
      </c>
      <c r="F212" s="8" t="s">
        <v>231</v>
      </c>
      <c r="G212" s="6" t="s">
        <v>37</v>
      </c>
      <c r="H212" s="6" t="s">
        <v>67</v>
      </c>
      <c r="I212" s="8" t="s">
        <v>106</v>
      </c>
      <c r="J212" s="9">
        <v>1</v>
      </c>
      <c r="K212" s="9">
        <v>239</v>
      </c>
      <c r="L212" s="9">
        <v>2024</v>
      </c>
      <c r="M212" s="8" t="s">
        <v>1401</v>
      </c>
      <c r="N212" s="8" t="s">
        <v>41</v>
      </c>
      <c r="O212" s="8" t="s">
        <v>42</v>
      </c>
      <c r="P212" s="6" t="s">
        <v>110</v>
      </c>
      <c r="Q212" s="8" t="s">
        <v>111</v>
      </c>
      <c r="R212" s="10" t="s">
        <v>1402</v>
      </c>
      <c r="S212" s="11"/>
      <c r="T212" s="6"/>
      <c r="U212" s="28" t="str">
        <f>HYPERLINK("https://media.infra-m.ru/2048/2048107/cover/2048107.jpg", "Обложка")</f>
        <v>Обложка</v>
      </c>
      <c r="V212" s="28" t="str">
        <f>HYPERLINK("https://znanium.ru/catalog/product/2048107", "Ознакомиться")</f>
        <v>Ознакомиться</v>
      </c>
      <c r="W212" s="8" t="s">
        <v>235</v>
      </c>
      <c r="X212" s="6" t="s">
        <v>384</v>
      </c>
      <c r="Y212" s="6"/>
      <c r="Z212" s="6"/>
      <c r="AA212" s="6" t="s">
        <v>485</v>
      </c>
    </row>
    <row r="213" spans="1:27" s="4" customFormat="1" ht="51.95" customHeight="1">
      <c r="A213" s="5">
        <v>0</v>
      </c>
      <c r="B213" s="6" t="s">
        <v>1403</v>
      </c>
      <c r="C213" s="7">
        <v>1900</v>
      </c>
      <c r="D213" s="8" t="s">
        <v>1404</v>
      </c>
      <c r="E213" s="8" t="s">
        <v>1405</v>
      </c>
      <c r="F213" s="8" t="s">
        <v>231</v>
      </c>
      <c r="G213" s="6" t="s">
        <v>37</v>
      </c>
      <c r="H213" s="6" t="s">
        <v>67</v>
      </c>
      <c r="I213" s="8" t="s">
        <v>106</v>
      </c>
      <c r="J213" s="9">
        <v>1</v>
      </c>
      <c r="K213" s="9">
        <v>362</v>
      </c>
      <c r="L213" s="9">
        <v>2024</v>
      </c>
      <c r="M213" s="8" t="s">
        <v>1406</v>
      </c>
      <c r="N213" s="8" t="s">
        <v>41</v>
      </c>
      <c r="O213" s="8" t="s">
        <v>42</v>
      </c>
      <c r="P213" s="6" t="s">
        <v>110</v>
      </c>
      <c r="Q213" s="8" t="s">
        <v>111</v>
      </c>
      <c r="R213" s="10" t="s">
        <v>1407</v>
      </c>
      <c r="S213" s="11"/>
      <c r="T213" s="6"/>
      <c r="U213" s="28" t="str">
        <f>HYPERLINK("https://media.infra-m.ru/2137/2137625/cover/2137625.jpg", "Обложка")</f>
        <v>Обложка</v>
      </c>
      <c r="V213" s="28" t="str">
        <f>HYPERLINK("https://znanium.ru/catalog/product/2137625", "Ознакомиться")</f>
        <v>Ознакомиться</v>
      </c>
      <c r="W213" s="8" t="s">
        <v>235</v>
      </c>
      <c r="X213" s="6" t="s">
        <v>830</v>
      </c>
      <c r="Y213" s="6"/>
      <c r="Z213" s="6"/>
      <c r="AA213" s="6" t="s">
        <v>485</v>
      </c>
    </row>
    <row r="214" spans="1:27" s="4" customFormat="1" ht="51.95" customHeight="1">
      <c r="A214" s="5">
        <v>0</v>
      </c>
      <c r="B214" s="6" t="s">
        <v>1408</v>
      </c>
      <c r="C214" s="7">
        <v>1104</v>
      </c>
      <c r="D214" s="8" t="s">
        <v>1409</v>
      </c>
      <c r="E214" s="8" t="s">
        <v>1410</v>
      </c>
      <c r="F214" s="8" t="s">
        <v>1411</v>
      </c>
      <c r="G214" s="6" t="s">
        <v>53</v>
      </c>
      <c r="H214" s="6" t="s">
        <v>173</v>
      </c>
      <c r="I214" s="8" t="s">
        <v>54</v>
      </c>
      <c r="J214" s="9">
        <v>1</v>
      </c>
      <c r="K214" s="9">
        <v>240</v>
      </c>
      <c r="L214" s="9">
        <v>2023</v>
      </c>
      <c r="M214" s="8" t="s">
        <v>1412</v>
      </c>
      <c r="N214" s="8" t="s">
        <v>41</v>
      </c>
      <c r="O214" s="8" t="s">
        <v>42</v>
      </c>
      <c r="P214" s="6" t="s">
        <v>295</v>
      </c>
      <c r="Q214" s="8" t="s">
        <v>44</v>
      </c>
      <c r="R214" s="10" t="s">
        <v>258</v>
      </c>
      <c r="S214" s="11" t="s">
        <v>1413</v>
      </c>
      <c r="T214" s="6"/>
      <c r="U214" s="28" t="str">
        <f>HYPERLINK("https://media.infra-m.ru/1893/1893804/cover/1893804.jpg", "Обложка")</f>
        <v>Обложка</v>
      </c>
      <c r="V214" s="28" t="str">
        <f>HYPERLINK("https://znanium.ru/catalog/product/1221628", "Ознакомиться")</f>
        <v>Ознакомиться</v>
      </c>
      <c r="W214" s="8" t="s">
        <v>176</v>
      </c>
      <c r="X214" s="6"/>
      <c r="Y214" s="6"/>
      <c r="Z214" s="6"/>
      <c r="AA214" s="6" t="s">
        <v>177</v>
      </c>
    </row>
    <row r="215" spans="1:27" s="4" customFormat="1" ht="51.95" customHeight="1">
      <c r="A215" s="5">
        <v>0</v>
      </c>
      <c r="B215" s="6" t="s">
        <v>1414</v>
      </c>
      <c r="C215" s="7">
        <v>1514</v>
      </c>
      <c r="D215" s="8" t="s">
        <v>1415</v>
      </c>
      <c r="E215" s="8" t="s">
        <v>1416</v>
      </c>
      <c r="F215" s="8" t="s">
        <v>1053</v>
      </c>
      <c r="G215" s="6" t="s">
        <v>66</v>
      </c>
      <c r="H215" s="6" t="s">
        <v>67</v>
      </c>
      <c r="I215" s="8" t="s">
        <v>39</v>
      </c>
      <c r="J215" s="9">
        <v>1</v>
      </c>
      <c r="K215" s="9">
        <v>330</v>
      </c>
      <c r="L215" s="9">
        <v>2024</v>
      </c>
      <c r="M215" s="8" t="s">
        <v>1417</v>
      </c>
      <c r="N215" s="8" t="s">
        <v>41</v>
      </c>
      <c r="O215" s="8" t="s">
        <v>42</v>
      </c>
      <c r="P215" s="6" t="s">
        <v>43</v>
      </c>
      <c r="Q215" s="8" t="s">
        <v>44</v>
      </c>
      <c r="R215" s="10" t="s">
        <v>1418</v>
      </c>
      <c r="S215" s="11" t="s">
        <v>848</v>
      </c>
      <c r="T215" s="6" t="s">
        <v>59</v>
      </c>
      <c r="U215" s="28" t="str">
        <f>HYPERLINK("https://media.infra-m.ru/2103/2103735/cover/2103735.jpg", "Обложка")</f>
        <v>Обложка</v>
      </c>
      <c r="V215" s="28" t="str">
        <f>HYPERLINK("https://znanium.ru/catalog/product/1846434", "Ознакомиться")</f>
        <v>Ознакомиться</v>
      </c>
      <c r="W215" s="8" t="s">
        <v>1056</v>
      </c>
      <c r="X215" s="6"/>
      <c r="Y215" s="6"/>
      <c r="Z215" s="6"/>
      <c r="AA215" s="6" t="s">
        <v>126</v>
      </c>
    </row>
    <row r="216" spans="1:27" s="4" customFormat="1" ht="51.95" customHeight="1">
      <c r="A216" s="5">
        <v>0</v>
      </c>
      <c r="B216" s="6" t="s">
        <v>1419</v>
      </c>
      <c r="C216" s="7">
        <v>1494</v>
      </c>
      <c r="D216" s="8" t="s">
        <v>1420</v>
      </c>
      <c r="E216" s="8" t="s">
        <v>1416</v>
      </c>
      <c r="F216" s="8" t="s">
        <v>1053</v>
      </c>
      <c r="G216" s="6" t="s">
        <v>37</v>
      </c>
      <c r="H216" s="6" t="s">
        <v>67</v>
      </c>
      <c r="I216" s="8" t="s">
        <v>68</v>
      </c>
      <c r="J216" s="9">
        <v>1</v>
      </c>
      <c r="K216" s="9">
        <v>329</v>
      </c>
      <c r="L216" s="9">
        <v>2023</v>
      </c>
      <c r="M216" s="8" t="s">
        <v>1421</v>
      </c>
      <c r="N216" s="8" t="s">
        <v>41</v>
      </c>
      <c r="O216" s="8" t="s">
        <v>42</v>
      </c>
      <c r="P216" s="6" t="s">
        <v>43</v>
      </c>
      <c r="Q216" s="8" t="s">
        <v>71</v>
      </c>
      <c r="R216" s="10" t="s">
        <v>1422</v>
      </c>
      <c r="S216" s="11" t="s">
        <v>1423</v>
      </c>
      <c r="T216" s="6"/>
      <c r="U216" s="28" t="str">
        <f>HYPERLINK("https://media.infra-m.ru/2045/2045840/cover/2045840.jpg", "Обложка")</f>
        <v>Обложка</v>
      </c>
      <c r="V216" s="28" t="str">
        <f>HYPERLINK("https://znanium.ru/catalog/product/1031285", "Ознакомиться")</f>
        <v>Ознакомиться</v>
      </c>
      <c r="W216" s="8" t="s">
        <v>1056</v>
      </c>
      <c r="X216" s="6"/>
      <c r="Y216" s="6"/>
      <c r="Z216" s="6" t="s">
        <v>132</v>
      </c>
      <c r="AA216" s="6" t="s">
        <v>126</v>
      </c>
    </row>
    <row r="217" spans="1:27" s="4" customFormat="1" ht="51.95" customHeight="1">
      <c r="A217" s="5">
        <v>0</v>
      </c>
      <c r="B217" s="6" t="s">
        <v>1424</v>
      </c>
      <c r="C217" s="13">
        <v>924</v>
      </c>
      <c r="D217" s="8" t="s">
        <v>1425</v>
      </c>
      <c r="E217" s="8" t="s">
        <v>1426</v>
      </c>
      <c r="F217" s="8" t="s">
        <v>1053</v>
      </c>
      <c r="G217" s="6" t="s">
        <v>37</v>
      </c>
      <c r="H217" s="6" t="s">
        <v>67</v>
      </c>
      <c r="I217" s="8" t="s">
        <v>68</v>
      </c>
      <c r="J217" s="9">
        <v>1</v>
      </c>
      <c r="K217" s="9">
        <v>200</v>
      </c>
      <c r="L217" s="9">
        <v>2024</v>
      </c>
      <c r="M217" s="8" t="s">
        <v>1427</v>
      </c>
      <c r="N217" s="8" t="s">
        <v>41</v>
      </c>
      <c r="O217" s="8" t="s">
        <v>42</v>
      </c>
      <c r="P217" s="6" t="s">
        <v>43</v>
      </c>
      <c r="Q217" s="8" t="s">
        <v>71</v>
      </c>
      <c r="R217" s="10" t="s">
        <v>764</v>
      </c>
      <c r="S217" s="11" t="s">
        <v>1428</v>
      </c>
      <c r="T217" s="6"/>
      <c r="U217" s="28" t="str">
        <f>HYPERLINK("https://media.infra-m.ru/2045/2045842/cover/2045842.jpg", "Обложка")</f>
        <v>Обложка</v>
      </c>
      <c r="V217" s="28" t="str">
        <f>HYPERLINK("https://znanium.ru/catalog/product/1031324", "Ознакомиться")</f>
        <v>Ознакомиться</v>
      </c>
      <c r="W217" s="8" t="s">
        <v>1056</v>
      </c>
      <c r="X217" s="6"/>
      <c r="Y217" s="6"/>
      <c r="Z217" s="6" t="s">
        <v>132</v>
      </c>
      <c r="AA217" s="6" t="s">
        <v>101</v>
      </c>
    </row>
    <row r="218" spans="1:27" s="4" customFormat="1" ht="42" customHeight="1">
      <c r="A218" s="5">
        <v>0</v>
      </c>
      <c r="B218" s="6" t="s">
        <v>1429</v>
      </c>
      <c r="C218" s="13">
        <v>990</v>
      </c>
      <c r="D218" s="8" t="s">
        <v>1430</v>
      </c>
      <c r="E218" s="8" t="s">
        <v>1431</v>
      </c>
      <c r="F218" s="8" t="s">
        <v>1053</v>
      </c>
      <c r="G218" s="6" t="s">
        <v>37</v>
      </c>
      <c r="H218" s="6" t="s">
        <v>67</v>
      </c>
      <c r="I218" s="8" t="s">
        <v>54</v>
      </c>
      <c r="J218" s="9">
        <v>1</v>
      </c>
      <c r="K218" s="9">
        <v>193</v>
      </c>
      <c r="L218" s="9">
        <v>2024</v>
      </c>
      <c r="M218" s="8" t="s">
        <v>1432</v>
      </c>
      <c r="N218" s="8" t="s">
        <v>41</v>
      </c>
      <c r="O218" s="8" t="s">
        <v>42</v>
      </c>
      <c r="P218" s="6" t="s">
        <v>43</v>
      </c>
      <c r="Q218" s="8" t="s">
        <v>44</v>
      </c>
      <c r="R218" s="10" t="s">
        <v>330</v>
      </c>
      <c r="S218" s="11"/>
      <c r="T218" s="6" t="s">
        <v>59</v>
      </c>
      <c r="U218" s="28" t="str">
        <f>HYPERLINK("https://media.infra-m.ru/0943/0943557/cover/943557.jpg", "Обложка")</f>
        <v>Обложка</v>
      </c>
      <c r="V218" s="28" t="str">
        <f>HYPERLINK("https://znanium.ru/catalog/product/943557", "Ознакомиться")</f>
        <v>Ознакомиться</v>
      </c>
      <c r="W218" s="8" t="s">
        <v>1056</v>
      </c>
      <c r="X218" s="6" t="s">
        <v>376</v>
      </c>
      <c r="Y218" s="6"/>
      <c r="Z218" s="6"/>
      <c r="AA218" s="6" t="s">
        <v>485</v>
      </c>
    </row>
    <row r="219" spans="1:27" s="4" customFormat="1" ht="44.1" customHeight="1">
      <c r="A219" s="5">
        <v>0</v>
      </c>
      <c r="B219" s="6" t="s">
        <v>1433</v>
      </c>
      <c r="C219" s="7">
        <v>1340</v>
      </c>
      <c r="D219" s="8" t="s">
        <v>1434</v>
      </c>
      <c r="E219" s="8" t="s">
        <v>1435</v>
      </c>
      <c r="F219" s="8" t="s">
        <v>1053</v>
      </c>
      <c r="G219" s="6" t="s">
        <v>37</v>
      </c>
      <c r="H219" s="6" t="s">
        <v>67</v>
      </c>
      <c r="I219" s="8" t="s">
        <v>68</v>
      </c>
      <c r="J219" s="9">
        <v>1</v>
      </c>
      <c r="K219" s="9">
        <v>282</v>
      </c>
      <c r="L219" s="9">
        <v>2024</v>
      </c>
      <c r="M219" s="8" t="s">
        <v>1436</v>
      </c>
      <c r="N219" s="8" t="s">
        <v>41</v>
      </c>
      <c r="O219" s="8" t="s">
        <v>42</v>
      </c>
      <c r="P219" s="6" t="s">
        <v>43</v>
      </c>
      <c r="Q219" s="8" t="s">
        <v>71</v>
      </c>
      <c r="R219" s="10" t="s">
        <v>1437</v>
      </c>
      <c r="S219" s="11"/>
      <c r="T219" s="6"/>
      <c r="U219" s="28" t="str">
        <f>HYPERLINK("https://media.infra-m.ru/1045/1045522/cover/1045522.jpg", "Обложка")</f>
        <v>Обложка</v>
      </c>
      <c r="V219" s="28" t="str">
        <f>HYPERLINK("https://znanium.ru/catalog/product/1045522", "Ознакомиться")</f>
        <v>Ознакомиться</v>
      </c>
      <c r="W219" s="8" t="s">
        <v>1056</v>
      </c>
      <c r="X219" s="6" t="s">
        <v>376</v>
      </c>
      <c r="Y219" s="6"/>
      <c r="Z219" s="6"/>
      <c r="AA219" s="6" t="s">
        <v>485</v>
      </c>
    </row>
    <row r="220" spans="1:27" s="4" customFormat="1" ht="51.95" customHeight="1">
      <c r="A220" s="5">
        <v>0</v>
      </c>
      <c r="B220" s="6" t="s">
        <v>1438</v>
      </c>
      <c r="C220" s="13">
        <v>994</v>
      </c>
      <c r="D220" s="8" t="s">
        <v>1439</v>
      </c>
      <c r="E220" s="8" t="s">
        <v>1426</v>
      </c>
      <c r="F220" s="8" t="s">
        <v>1053</v>
      </c>
      <c r="G220" s="6" t="s">
        <v>66</v>
      </c>
      <c r="H220" s="6" t="s">
        <v>67</v>
      </c>
      <c r="I220" s="8" t="s">
        <v>39</v>
      </c>
      <c r="J220" s="9">
        <v>1</v>
      </c>
      <c r="K220" s="9">
        <v>215</v>
      </c>
      <c r="L220" s="9">
        <v>2024</v>
      </c>
      <c r="M220" s="8" t="s">
        <v>1440</v>
      </c>
      <c r="N220" s="8" t="s">
        <v>41</v>
      </c>
      <c r="O220" s="8" t="s">
        <v>42</v>
      </c>
      <c r="P220" s="6" t="s">
        <v>43</v>
      </c>
      <c r="Q220" s="8" t="s">
        <v>44</v>
      </c>
      <c r="R220" s="10" t="s">
        <v>834</v>
      </c>
      <c r="S220" s="11" t="s">
        <v>1441</v>
      </c>
      <c r="T220" s="6"/>
      <c r="U220" s="28" t="str">
        <f>HYPERLINK("https://media.infra-m.ru/2084/2084329/cover/2084329.jpg", "Обложка")</f>
        <v>Обложка</v>
      </c>
      <c r="V220" s="28" t="str">
        <f>HYPERLINK("https://znanium.ru/catalog/product/1981646", "Ознакомиться")</f>
        <v>Ознакомиться</v>
      </c>
      <c r="W220" s="8" t="s">
        <v>1056</v>
      </c>
      <c r="X220" s="6"/>
      <c r="Y220" s="6"/>
      <c r="Z220" s="6"/>
      <c r="AA220" s="6" t="s">
        <v>126</v>
      </c>
    </row>
    <row r="221" spans="1:27" s="4" customFormat="1" ht="51.95" customHeight="1">
      <c r="A221" s="5">
        <v>0</v>
      </c>
      <c r="B221" s="6" t="s">
        <v>1442</v>
      </c>
      <c r="C221" s="13">
        <v>914</v>
      </c>
      <c r="D221" s="8" t="s">
        <v>1443</v>
      </c>
      <c r="E221" s="8" t="s">
        <v>1444</v>
      </c>
      <c r="F221" s="8" t="s">
        <v>1445</v>
      </c>
      <c r="G221" s="6" t="s">
        <v>66</v>
      </c>
      <c r="H221" s="6" t="s">
        <v>67</v>
      </c>
      <c r="I221" s="8" t="s">
        <v>906</v>
      </c>
      <c r="J221" s="9">
        <v>1</v>
      </c>
      <c r="K221" s="9">
        <v>202</v>
      </c>
      <c r="L221" s="9">
        <v>2023</v>
      </c>
      <c r="M221" s="8" t="s">
        <v>1446</v>
      </c>
      <c r="N221" s="8" t="s">
        <v>41</v>
      </c>
      <c r="O221" s="8" t="s">
        <v>42</v>
      </c>
      <c r="P221" s="6" t="s">
        <v>43</v>
      </c>
      <c r="Q221" s="8" t="s">
        <v>44</v>
      </c>
      <c r="R221" s="10" t="s">
        <v>296</v>
      </c>
      <c r="S221" s="11" t="s">
        <v>952</v>
      </c>
      <c r="T221" s="6"/>
      <c r="U221" s="28" t="str">
        <f>HYPERLINK("https://media.infra-m.ru/2006/2006882/cover/2006882.jpg", "Обложка")</f>
        <v>Обложка</v>
      </c>
      <c r="V221" s="12"/>
      <c r="W221" s="8" t="s">
        <v>786</v>
      </c>
      <c r="X221" s="6"/>
      <c r="Y221" s="6"/>
      <c r="Z221" s="6"/>
      <c r="AA221" s="6" t="s">
        <v>190</v>
      </c>
    </row>
    <row r="222" spans="1:27" s="4" customFormat="1" ht="51.95" customHeight="1">
      <c r="A222" s="5">
        <v>0</v>
      </c>
      <c r="B222" s="6" t="s">
        <v>1447</v>
      </c>
      <c r="C222" s="7">
        <v>2174</v>
      </c>
      <c r="D222" s="8" t="s">
        <v>1448</v>
      </c>
      <c r="E222" s="8" t="s">
        <v>1449</v>
      </c>
      <c r="F222" s="8" t="s">
        <v>1450</v>
      </c>
      <c r="G222" s="6" t="s">
        <v>66</v>
      </c>
      <c r="H222" s="6" t="s">
        <v>67</v>
      </c>
      <c r="I222" s="8" t="s">
        <v>39</v>
      </c>
      <c r="J222" s="9">
        <v>1</v>
      </c>
      <c r="K222" s="9">
        <v>472</v>
      </c>
      <c r="L222" s="9">
        <v>2024</v>
      </c>
      <c r="M222" s="8" t="s">
        <v>1451</v>
      </c>
      <c r="N222" s="8" t="s">
        <v>41</v>
      </c>
      <c r="O222" s="8" t="s">
        <v>42</v>
      </c>
      <c r="P222" s="6" t="s">
        <v>43</v>
      </c>
      <c r="Q222" s="8" t="s">
        <v>44</v>
      </c>
      <c r="R222" s="10" t="s">
        <v>739</v>
      </c>
      <c r="S222" s="11" t="s">
        <v>1313</v>
      </c>
      <c r="T222" s="6"/>
      <c r="U222" s="28" t="str">
        <f>HYPERLINK("https://media.infra-m.ru/2104/2104859/cover/2104859.jpg", "Обложка")</f>
        <v>Обложка</v>
      </c>
      <c r="V222" s="28" t="str">
        <f>HYPERLINK("https://znanium.ru/catalog/product/1361798", "Ознакомиться")</f>
        <v>Ознакомиться</v>
      </c>
      <c r="W222" s="8" t="s">
        <v>319</v>
      </c>
      <c r="X222" s="6"/>
      <c r="Y222" s="6"/>
      <c r="Z222" s="6"/>
      <c r="AA222" s="6" t="s">
        <v>61</v>
      </c>
    </row>
    <row r="223" spans="1:27" s="4" customFormat="1" ht="51.95" customHeight="1">
      <c r="A223" s="5">
        <v>0</v>
      </c>
      <c r="B223" s="6" t="s">
        <v>1452</v>
      </c>
      <c r="C223" s="7">
        <v>1994.9</v>
      </c>
      <c r="D223" s="8" t="s">
        <v>1453</v>
      </c>
      <c r="E223" s="8" t="s">
        <v>1454</v>
      </c>
      <c r="F223" s="8" t="s">
        <v>1455</v>
      </c>
      <c r="G223" s="6" t="s">
        <v>37</v>
      </c>
      <c r="H223" s="6" t="s">
        <v>67</v>
      </c>
      <c r="I223" s="8" t="s">
        <v>68</v>
      </c>
      <c r="J223" s="9">
        <v>1</v>
      </c>
      <c r="K223" s="9">
        <v>442</v>
      </c>
      <c r="L223" s="9">
        <v>2023</v>
      </c>
      <c r="M223" s="8" t="s">
        <v>1456</v>
      </c>
      <c r="N223" s="8" t="s">
        <v>41</v>
      </c>
      <c r="O223" s="8" t="s">
        <v>42</v>
      </c>
      <c r="P223" s="6" t="s">
        <v>70</v>
      </c>
      <c r="Q223" s="8" t="s">
        <v>71</v>
      </c>
      <c r="R223" s="10" t="s">
        <v>1457</v>
      </c>
      <c r="S223" s="11" t="s">
        <v>1458</v>
      </c>
      <c r="T223" s="6"/>
      <c r="U223" s="28" t="str">
        <f>HYPERLINK("https://media.infra-m.ru/1928/1928376/cover/1928376.jpg", "Обложка")</f>
        <v>Обложка</v>
      </c>
      <c r="V223" s="28" t="str">
        <f>HYPERLINK("https://znanium.ru/catalog/product/988109", "Ознакомиться")</f>
        <v>Ознакомиться</v>
      </c>
      <c r="W223" s="8" t="s">
        <v>74</v>
      </c>
      <c r="X223" s="6"/>
      <c r="Y223" s="6"/>
      <c r="Z223" s="6"/>
      <c r="AA223" s="6" t="s">
        <v>305</v>
      </c>
    </row>
    <row r="224" spans="1:27" s="4" customFormat="1" ht="42" customHeight="1">
      <c r="A224" s="5">
        <v>0</v>
      </c>
      <c r="B224" s="6" t="s">
        <v>1459</v>
      </c>
      <c r="C224" s="7">
        <v>2350</v>
      </c>
      <c r="D224" s="8" t="s">
        <v>1460</v>
      </c>
      <c r="E224" s="8" t="s">
        <v>1461</v>
      </c>
      <c r="F224" s="8" t="s">
        <v>1462</v>
      </c>
      <c r="G224" s="6" t="s">
        <v>37</v>
      </c>
      <c r="H224" s="6" t="s">
        <v>67</v>
      </c>
      <c r="I224" s="8" t="s">
        <v>106</v>
      </c>
      <c r="J224" s="9">
        <v>1</v>
      </c>
      <c r="K224" s="9">
        <v>521</v>
      </c>
      <c r="L224" s="9">
        <v>2023</v>
      </c>
      <c r="M224" s="8" t="s">
        <v>1463</v>
      </c>
      <c r="N224" s="8" t="s">
        <v>41</v>
      </c>
      <c r="O224" s="8" t="s">
        <v>42</v>
      </c>
      <c r="P224" s="6" t="s">
        <v>110</v>
      </c>
      <c r="Q224" s="8" t="s">
        <v>111</v>
      </c>
      <c r="R224" s="10" t="s">
        <v>258</v>
      </c>
      <c r="S224" s="11"/>
      <c r="T224" s="6"/>
      <c r="U224" s="28" t="str">
        <f>HYPERLINK("https://media.infra-m.ru/1867/1867636/cover/1867636.jpg", "Обложка")</f>
        <v>Обложка</v>
      </c>
      <c r="V224" s="28" t="str">
        <f>HYPERLINK("https://znanium.ru/catalog/product/1867636", "Ознакомиться")</f>
        <v>Ознакомиться</v>
      </c>
      <c r="W224" s="8" t="s">
        <v>369</v>
      </c>
      <c r="X224" s="6"/>
      <c r="Y224" s="6"/>
      <c r="Z224" s="6"/>
      <c r="AA224" s="6" t="s">
        <v>115</v>
      </c>
    </row>
    <row r="225" spans="1:27" s="4" customFormat="1" ht="51.95" customHeight="1">
      <c r="A225" s="5">
        <v>0</v>
      </c>
      <c r="B225" s="6" t="s">
        <v>1464</v>
      </c>
      <c r="C225" s="7">
        <v>1130</v>
      </c>
      <c r="D225" s="8" t="s">
        <v>1465</v>
      </c>
      <c r="E225" s="8" t="s">
        <v>1466</v>
      </c>
      <c r="F225" s="8" t="s">
        <v>1467</v>
      </c>
      <c r="G225" s="6" t="s">
        <v>66</v>
      </c>
      <c r="H225" s="6" t="s">
        <v>67</v>
      </c>
      <c r="I225" s="8" t="s">
        <v>68</v>
      </c>
      <c r="J225" s="9">
        <v>1</v>
      </c>
      <c r="K225" s="9">
        <v>250</v>
      </c>
      <c r="L225" s="9">
        <v>2023</v>
      </c>
      <c r="M225" s="8" t="s">
        <v>1468</v>
      </c>
      <c r="N225" s="8" t="s">
        <v>41</v>
      </c>
      <c r="O225" s="8" t="s">
        <v>42</v>
      </c>
      <c r="P225" s="6" t="s">
        <v>43</v>
      </c>
      <c r="Q225" s="8" t="s">
        <v>71</v>
      </c>
      <c r="R225" s="10" t="s">
        <v>764</v>
      </c>
      <c r="S225" s="11" t="s">
        <v>1469</v>
      </c>
      <c r="T225" s="6"/>
      <c r="U225" s="28" t="str">
        <f>HYPERLINK("https://media.infra-m.ru/1927/1927374/cover/1927374.jpg", "Обложка")</f>
        <v>Обложка</v>
      </c>
      <c r="V225" s="28" t="str">
        <f>HYPERLINK("https://znanium.ru/catalog/product/1927374", "Ознакомиться")</f>
        <v>Ознакомиться</v>
      </c>
      <c r="W225" s="8" t="s">
        <v>1470</v>
      </c>
      <c r="X225" s="6"/>
      <c r="Y225" s="6"/>
      <c r="Z225" s="6"/>
      <c r="AA225" s="6" t="s">
        <v>1075</v>
      </c>
    </row>
    <row r="226" spans="1:27" s="4" customFormat="1" ht="51.95" customHeight="1">
      <c r="A226" s="5">
        <v>0</v>
      </c>
      <c r="B226" s="6" t="s">
        <v>1471</v>
      </c>
      <c r="C226" s="13">
        <v>990</v>
      </c>
      <c r="D226" s="8" t="s">
        <v>1472</v>
      </c>
      <c r="E226" s="8" t="s">
        <v>1473</v>
      </c>
      <c r="F226" s="8" t="s">
        <v>1053</v>
      </c>
      <c r="G226" s="6" t="s">
        <v>66</v>
      </c>
      <c r="H226" s="6" t="s">
        <v>67</v>
      </c>
      <c r="I226" s="8" t="s">
        <v>95</v>
      </c>
      <c r="J226" s="9">
        <v>1</v>
      </c>
      <c r="K226" s="9">
        <v>210</v>
      </c>
      <c r="L226" s="9">
        <v>2024</v>
      </c>
      <c r="M226" s="8" t="s">
        <v>1474</v>
      </c>
      <c r="N226" s="8" t="s">
        <v>41</v>
      </c>
      <c r="O226" s="8" t="s">
        <v>42</v>
      </c>
      <c r="P226" s="6" t="s">
        <v>43</v>
      </c>
      <c r="Q226" s="8" t="s">
        <v>97</v>
      </c>
      <c r="R226" s="10" t="s">
        <v>98</v>
      </c>
      <c r="S226" s="11" t="s">
        <v>1475</v>
      </c>
      <c r="T226" s="6" t="s">
        <v>59</v>
      </c>
      <c r="U226" s="28" t="str">
        <f>HYPERLINK("https://media.infra-m.ru/2149/2149628/cover/2149628.jpg", "Обложка")</f>
        <v>Обложка</v>
      </c>
      <c r="V226" s="28" t="str">
        <f>HYPERLINK("https://znanium.ru/catalog/product/2149628", "Ознакомиться")</f>
        <v>Ознакомиться</v>
      </c>
      <c r="W226" s="8" t="s">
        <v>1056</v>
      </c>
      <c r="X226" s="6"/>
      <c r="Y226" s="6"/>
      <c r="Z226" s="6"/>
      <c r="AA226" s="6" t="s">
        <v>244</v>
      </c>
    </row>
    <row r="227" spans="1:27" s="4" customFormat="1" ht="51.95" customHeight="1">
      <c r="A227" s="5">
        <v>0</v>
      </c>
      <c r="B227" s="6" t="s">
        <v>1476</v>
      </c>
      <c r="C227" s="7">
        <v>1174</v>
      </c>
      <c r="D227" s="8" t="s">
        <v>1477</v>
      </c>
      <c r="E227" s="8" t="s">
        <v>1478</v>
      </c>
      <c r="F227" s="8" t="s">
        <v>1479</v>
      </c>
      <c r="G227" s="6" t="s">
        <v>37</v>
      </c>
      <c r="H227" s="6" t="s">
        <v>67</v>
      </c>
      <c r="I227" s="8" t="s">
        <v>95</v>
      </c>
      <c r="J227" s="9">
        <v>1</v>
      </c>
      <c r="K227" s="9">
        <v>260</v>
      </c>
      <c r="L227" s="9">
        <v>2023</v>
      </c>
      <c r="M227" s="8" t="s">
        <v>1480</v>
      </c>
      <c r="N227" s="8" t="s">
        <v>41</v>
      </c>
      <c r="O227" s="8" t="s">
        <v>42</v>
      </c>
      <c r="P227" s="6" t="s">
        <v>43</v>
      </c>
      <c r="Q227" s="8" t="s">
        <v>97</v>
      </c>
      <c r="R227" s="10" t="s">
        <v>98</v>
      </c>
      <c r="S227" s="11" t="s">
        <v>99</v>
      </c>
      <c r="T227" s="6"/>
      <c r="U227" s="28" t="str">
        <f>HYPERLINK("https://media.infra-m.ru/2006/2006071/cover/2006071.jpg", "Обложка")</f>
        <v>Обложка</v>
      </c>
      <c r="V227" s="28" t="str">
        <f>HYPERLINK("https://znanium.ru/catalog/product/989593", "Ознакомиться")</f>
        <v>Ознакомиться</v>
      </c>
      <c r="W227" s="8" t="s">
        <v>625</v>
      </c>
      <c r="X227" s="6"/>
      <c r="Y227" s="6"/>
      <c r="Z227" s="6"/>
      <c r="AA227" s="6" t="s">
        <v>101</v>
      </c>
    </row>
    <row r="228" spans="1:27" s="4" customFormat="1" ht="51.95" customHeight="1">
      <c r="A228" s="5">
        <v>0</v>
      </c>
      <c r="B228" s="6" t="s">
        <v>1481</v>
      </c>
      <c r="C228" s="7">
        <v>1980</v>
      </c>
      <c r="D228" s="8" t="s">
        <v>1482</v>
      </c>
      <c r="E228" s="8" t="s">
        <v>1483</v>
      </c>
      <c r="F228" s="8" t="s">
        <v>1484</v>
      </c>
      <c r="G228" s="6" t="s">
        <v>37</v>
      </c>
      <c r="H228" s="6" t="s">
        <v>67</v>
      </c>
      <c r="I228" s="8" t="s">
        <v>54</v>
      </c>
      <c r="J228" s="9">
        <v>1</v>
      </c>
      <c r="K228" s="9">
        <v>429</v>
      </c>
      <c r="L228" s="9">
        <v>2024</v>
      </c>
      <c r="M228" s="8" t="s">
        <v>1485</v>
      </c>
      <c r="N228" s="8" t="s">
        <v>41</v>
      </c>
      <c r="O228" s="8" t="s">
        <v>42</v>
      </c>
      <c r="P228" s="6" t="s">
        <v>43</v>
      </c>
      <c r="Q228" s="8" t="s">
        <v>44</v>
      </c>
      <c r="R228" s="10" t="s">
        <v>258</v>
      </c>
      <c r="S228" s="11" t="s">
        <v>1486</v>
      </c>
      <c r="T228" s="6"/>
      <c r="U228" s="28" t="str">
        <f>HYPERLINK("https://media.infra-m.ru/2120/2120736/cover/2120736.jpg", "Обложка")</f>
        <v>Обложка</v>
      </c>
      <c r="V228" s="28" t="str">
        <f>HYPERLINK("https://znanium.ru/catalog/product/2120736", "Ознакомиться")</f>
        <v>Ознакомиться</v>
      </c>
      <c r="W228" s="8" t="s">
        <v>369</v>
      </c>
      <c r="X228" s="6"/>
      <c r="Y228" s="6"/>
      <c r="Z228" s="6"/>
      <c r="AA228" s="6" t="s">
        <v>710</v>
      </c>
    </row>
    <row r="229" spans="1:27" s="4" customFormat="1" ht="51.95" customHeight="1">
      <c r="A229" s="5">
        <v>0</v>
      </c>
      <c r="B229" s="6" t="s">
        <v>1487</v>
      </c>
      <c r="C229" s="7">
        <v>1844</v>
      </c>
      <c r="D229" s="8" t="s">
        <v>1488</v>
      </c>
      <c r="E229" s="8" t="s">
        <v>1489</v>
      </c>
      <c r="F229" s="8" t="s">
        <v>1490</v>
      </c>
      <c r="G229" s="6" t="s">
        <v>37</v>
      </c>
      <c r="H229" s="6" t="s">
        <v>1491</v>
      </c>
      <c r="I229" s="8" t="s">
        <v>1492</v>
      </c>
      <c r="J229" s="9">
        <v>1</v>
      </c>
      <c r="K229" s="9">
        <v>400</v>
      </c>
      <c r="L229" s="9">
        <v>2024</v>
      </c>
      <c r="M229" s="8" t="s">
        <v>1493</v>
      </c>
      <c r="N229" s="8" t="s">
        <v>41</v>
      </c>
      <c r="O229" s="8" t="s">
        <v>42</v>
      </c>
      <c r="P229" s="6" t="s">
        <v>70</v>
      </c>
      <c r="Q229" s="8" t="s">
        <v>44</v>
      </c>
      <c r="R229" s="10" t="s">
        <v>1494</v>
      </c>
      <c r="S229" s="11" t="s">
        <v>1495</v>
      </c>
      <c r="T229" s="6"/>
      <c r="U229" s="28" t="str">
        <f>HYPERLINK("https://media.infra-m.ru/2125/2125111/cover/2125111.jpg", "Обложка")</f>
        <v>Обложка</v>
      </c>
      <c r="V229" s="28" t="str">
        <f>HYPERLINK("https://znanium.ru/catalog/product/1404952", "Ознакомиться")</f>
        <v>Ознакомиться</v>
      </c>
      <c r="W229" s="8" t="s">
        <v>1496</v>
      </c>
      <c r="X229" s="6"/>
      <c r="Y229" s="6"/>
      <c r="Z229" s="6"/>
      <c r="AA229" s="6" t="s">
        <v>422</v>
      </c>
    </row>
    <row r="230" spans="1:27" s="4" customFormat="1" ht="51.95" customHeight="1">
      <c r="A230" s="5">
        <v>0</v>
      </c>
      <c r="B230" s="6" t="s">
        <v>1497</v>
      </c>
      <c r="C230" s="7">
        <v>1520</v>
      </c>
      <c r="D230" s="8" t="s">
        <v>1498</v>
      </c>
      <c r="E230" s="8" t="s">
        <v>1489</v>
      </c>
      <c r="F230" s="8" t="s">
        <v>1499</v>
      </c>
      <c r="G230" s="6" t="s">
        <v>66</v>
      </c>
      <c r="H230" s="6" t="s">
        <v>67</v>
      </c>
      <c r="I230" s="8" t="s">
        <v>68</v>
      </c>
      <c r="J230" s="9">
        <v>1</v>
      </c>
      <c r="K230" s="9">
        <v>395</v>
      </c>
      <c r="L230" s="9">
        <v>2022</v>
      </c>
      <c r="M230" s="8" t="s">
        <v>1500</v>
      </c>
      <c r="N230" s="8" t="s">
        <v>41</v>
      </c>
      <c r="O230" s="8" t="s">
        <v>42</v>
      </c>
      <c r="P230" s="6" t="s">
        <v>70</v>
      </c>
      <c r="Q230" s="8" t="s">
        <v>71</v>
      </c>
      <c r="R230" s="10" t="s">
        <v>1501</v>
      </c>
      <c r="S230" s="11" t="s">
        <v>1502</v>
      </c>
      <c r="T230" s="6"/>
      <c r="U230" s="28" t="str">
        <f>HYPERLINK("https://media.infra-m.ru/1864/1864130/cover/1864130.jpg", "Обложка")</f>
        <v>Обложка</v>
      </c>
      <c r="V230" s="28" t="str">
        <f>HYPERLINK("https://znanium.ru/catalog/product/1864130", "Ознакомиться")</f>
        <v>Ознакомиться</v>
      </c>
      <c r="W230" s="8" t="s">
        <v>1496</v>
      </c>
      <c r="X230" s="6"/>
      <c r="Y230" s="6"/>
      <c r="Z230" s="6" t="s">
        <v>132</v>
      </c>
      <c r="AA230" s="6" t="s">
        <v>236</v>
      </c>
    </row>
    <row r="231" spans="1:27" s="4" customFormat="1" ht="51.95" customHeight="1">
      <c r="A231" s="5">
        <v>0</v>
      </c>
      <c r="B231" s="6" t="s">
        <v>1503</v>
      </c>
      <c r="C231" s="7">
        <v>1150</v>
      </c>
      <c r="D231" s="8" t="s">
        <v>1504</v>
      </c>
      <c r="E231" s="8" t="s">
        <v>1505</v>
      </c>
      <c r="F231" s="8" t="s">
        <v>1506</v>
      </c>
      <c r="G231" s="6" t="s">
        <v>66</v>
      </c>
      <c r="H231" s="6" t="s">
        <v>67</v>
      </c>
      <c r="I231" s="8" t="s">
        <v>68</v>
      </c>
      <c r="J231" s="9">
        <v>1</v>
      </c>
      <c r="K231" s="9">
        <v>248</v>
      </c>
      <c r="L231" s="9">
        <v>2024</v>
      </c>
      <c r="M231" s="8" t="s">
        <v>1507</v>
      </c>
      <c r="N231" s="8" t="s">
        <v>41</v>
      </c>
      <c r="O231" s="8" t="s">
        <v>42</v>
      </c>
      <c r="P231" s="6" t="s">
        <v>43</v>
      </c>
      <c r="Q231" s="8" t="s">
        <v>71</v>
      </c>
      <c r="R231" s="10" t="s">
        <v>416</v>
      </c>
      <c r="S231" s="11" t="s">
        <v>1508</v>
      </c>
      <c r="T231" s="6"/>
      <c r="U231" s="28" t="str">
        <f>HYPERLINK("https://media.infra-m.ru/2083/2083344/cover/2083344.jpg", "Обложка")</f>
        <v>Обложка</v>
      </c>
      <c r="V231" s="28" t="str">
        <f>HYPERLINK("https://znanium.ru/catalog/product/2083344", "Ознакомиться")</f>
        <v>Ознакомиться</v>
      </c>
      <c r="W231" s="8" t="s">
        <v>999</v>
      </c>
      <c r="X231" s="6"/>
      <c r="Y231" s="6"/>
      <c r="Z231" s="6" t="s">
        <v>132</v>
      </c>
      <c r="AA231" s="6" t="s">
        <v>213</v>
      </c>
    </row>
    <row r="232" spans="1:27" s="4" customFormat="1" ht="51.95" customHeight="1">
      <c r="A232" s="5">
        <v>0</v>
      </c>
      <c r="B232" s="6" t="s">
        <v>1509</v>
      </c>
      <c r="C232" s="13">
        <v>714</v>
      </c>
      <c r="D232" s="8" t="s">
        <v>1510</v>
      </c>
      <c r="E232" s="8" t="s">
        <v>1505</v>
      </c>
      <c r="F232" s="8" t="s">
        <v>1506</v>
      </c>
      <c r="G232" s="6" t="s">
        <v>66</v>
      </c>
      <c r="H232" s="6" t="s">
        <v>67</v>
      </c>
      <c r="I232" s="8" t="s">
        <v>39</v>
      </c>
      <c r="J232" s="9">
        <v>1</v>
      </c>
      <c r="K232" s="9">
        <v>156</v>
      </c>
      <c r="L232" s="9">
        <v>2024</v>
      </c>
      <c r="M232" s="8" t="s">
        <v>1511</v>
      </c>
      <c r="N232" s="8" t="s">
        <v>41</v>
      </c>
      <c r="O232" s="8" t="s">
        <v>42</v>
      </c>
      <c r="P232" s="6" t="s">
        <v>43</v>
      </c>
      <c r="Q232" s="8" t="s">
        <v>44</v>
      </c>
      <c r="R232" s="10" t="s">
        <v>258</v>
      </c>
      <c r="S232" s="11" t="s">
        <v>1512</v>
      </c>
      <c r="T232" s="6" t="s">
        <v>59</v>
      </c>
      <c r="U232" s="28" t="str">
        <f>HYPERLINK("https://media.infra-m.ru/2102/2102705/cover/2102705.jpg", "Обложка")</f>
        <v>Обложка</v>
      </c>
      <c r="V232" s="28" t="str">
        <f>HYPERLINK("https://znanium.ru/catalog/product/1843568", "Ознакомиться")</f>
        <v>Ознакомиться</v>
      </c>
      <c r="W232" s="8" t="s">
        <v>999</v>
      </c>
      <c r="X232" s="6"/>
      <c r="Y232" s="6"/>
      <c r="Z232" s="6"/>
      <c r="AA232" s="6" t="s">
        <v>75</v>
      </c>
    </row>
    <row r="233" spans="1:27" s="4" customFormat="1" ht="42" customHeight="1">
      <c r="A233" s="5">
        <v>0</v>
      </c>
      <c r="B233" s="6" t="s">
        <v>1513</v>
      </c>
      <c r="C233" s="7">
        <v>1510</v>
      </c>
      <c r="D233" s="8" t="s">
        <v>1514</v>
      </c>
      <c r="E233" s="8" t="s">
        <v>1515</v>
      </c>
      <c r="F233" s="8" t="s">
        <v>1516</v>
      </c>
      <c r="G233" s="6" t="s">
        <v>66</v>
      </c>
      <c r="H233" s="6" t="s">
        <v>67</v>
      </c>
      <c r="I233" s="8" t="s">
        <v>106</v>
      </c>
      <c r="J233" s="9">
        <v>1</v>
      </c>
      <c r="K233" s="9">
        <v>335</v>
      </c>
      <c r="L233" s="9">
        <v>2023</v>
      </c>
      <c r="M233" s="8" t="s">
        <v>1517</v>
      </c>
      <c r="N233" s="8" t="s">
        <v>108</v>
      </c>
      <c r="O233" s="8" t="s">
        <v>109</v>
      </c>
      <c r="P233" s="6" t="s">
        <v>110</v>
      </c>
      <c r="Q233" s="8" t="s">
        <v>111</v>
      </c>
      <c r="R233" s="10" t="s">
        <v>242</v>
      </c>
      <c r="S233" s="11"/>
      <c r="T233" s="6"/>
      <c r="U233" s="28" t="str">
        <f>HYPERLINK("https://media.infra-m.ru/1898/1898363/cover/1898363.jpg", "Обложка")</f>
        <v>Обложка</v>
      </c>
      <c r="V233" s="28" t="str">
        <f>HYPERLINK("https://znanium.ru/catalog/product/1898363", "Ознакомиться")</f>
        <v>Ознакомиться</v>
      </c>
      <c r="W233" s="8" t="s">
        <v>74</v>
      </c>
      <c r="X233" s="6"/>
      <c r="Y233" s="6"/>
      <c r="Z233" s="6"/>
      <c r="AA233" s="6" t="s">
        <v>126</v>
      </c>
    </row>
    <row r="234" spans="1:27" s="4" customFormat="1" ht="44.1" customHeight="1">
      <c r="A234" s="5">
        <v>0</v>
      </c>
      <c r="B234" s="6" t="s">
        <v>1518</v>
      </c>
      <c r="C234" s="13">
        <v>914</v>
      </c>
      <c r="D234" s="8" t="s">
        <v>1519</v>
      </c>
      <c r="E234" s="8" t="s">
        <v>1520</v>
      </c>
      <c r="F234" s="8" t="s">
        <v>1521</v>
      </c>
      <c r="G234" s="6" t="s">
        <v>66</v>
      </c>
      <c r="H234" s="6" t="s">
        <v>67</v>
      </c>
      <c r="I234" s="8" t="s">
        <v>106</v>
      </c>
      <c r="J234" s="9">
        <v>1</v>
      </c>
      <c r="K234" s="9">
        <v>202</v>
      </c>
      <c r="L234" s="9">
        <v>2023</v>
      </c>
      <c r="M234" s="8" t="s">
        <v>1522</v>
      </c>
      <c r="N234" s="8" t="s">
        <v>108</v>
      </c>
      <c r="O234" s="8" t="s">
        <v>109</v>
      </c>
      <c r="P234" s="6" t="s">
        <v>110</v>
      </c>
      <c r="Q234" s="8" t="s">
        <v>111</v>
      </c>
      <c r="R234" s="10" t="s">
        <v>1523</v>
      </c>
      <c r="S234" s="11"/>
      <c r="T234" s="6" t="s">
        <v>59</v>
      </c>
      <c r="U234" s="28" t="str">
        <f>HYPERLINK("https://media.infra-m.ru/2006/2006821/cover/2006821.jpg", "Обложка")</f>
        <v>Обложка</v>
      </c>
      <c r="V234" s="28" t="str">
        <f>HYPERLINK("https://znanium.ru/catalog/product/987754", "Ознакомиться")</f>
        <v>Ознакомиться</v>
      </c>
      <c r="W234" s="8" t="s">
        <v>1524</v>
      </c>
      <c r="X234" s="6"/>
      <c r="Y234" s="6"/>
      <c r="Z234" s="6"/>
      <c r="AA234" s="6" t="s">
        <v>190</v>
      </c>
    </row>
    <row r="235" spans="1:27" s="4" customFormat="1" ht="42" customHeight="1">
      <c r="A235" s="5">
        <v>0</v>
      </c>
      <c r="B235" s="6" t="s">
        <v>1525</v>
      </c>
      <c r="C235" s="13">
        <v>870</v>
      </c>
      <c r="D235" s="8" t="s">
        <v>1526</v>
      </c>
      <c r="E235" s="8" t="s">
        <v>1527</v>
      </c>
      <c r="F235" s="8" t="s">
        <v>1528</v>
      </c>
      <c r="G235" s="6" t="s">
        <v>53</v>
      </c>
      <c r="H235" s="6" t="s">
        <v>1170</v>
      </c>
      <c r="I235" s="8" t="s">
        <v>1529</v>
      </c>
      <c r="J235" s="14">
        <v>0</v>
      </c>
      <c r="K235" s="9">
        <v>276</v>
      </c>
      <c r="L235" s="9">
        <v>2018</v>
      </c>
      <c r="M235" s="8" t="s">
        <v>1530</v>
      </c>
      <c r="N235" s="8" t="s">
        <v>121</v>
      </c>
      <c r="O235" s="8" t="s">
        <v>122</v>
      </c>
      <c r="P235" s="6" t="s">
        <v>110</v>
      </c>
      <c r="Q235" s="8" t="s">
        <v>111</v>
      </c>
      <c r="R235" s="10" t="s">
        <v>1531</v>
      </c>
      <c r="S235" s="11"/>
      <c r="T235" s="6"/>
      <c r="U235" s="28" t="str">
        <f>HYPERLINK("https://media.infra-m.ru/0977/0977001/cover/977001.jpg", "Обложка")</f>
        <v>Обложка</v>
      </c>
      <c r="V235" s="28" t="str">
        <f>HYPERLINK("https://znanium.ru/catalog/product/977001", "Ознакомиться")</f>
        <v>Ознакомиться</v>
      </c>
      <c r="W235" s="8" t="s">
        <v>1532</v>
      </c>
      <c r="X235" s="6"/>
      <c r="Y235" s="6"/>
      <c r="Z235" s="6"/>
      <c r="AA235" s="6" t="s">
        <v>157</v>
      </c>
    </row>
    <row r="236" spans="1:27" s="4" customFormat="1" ht="51.95" customHeight="1">
      <c r="A236" s="5">
        <v>0</v>
      </c>
      <c r="B236" s="6" t="s">
        <v>1533</v>
      </c>
      <c r="C236" s="13">
        <v>450</v>
      </c>
      <c r="D236" s="8" t="s">
        <v>1534</v>
      </c>
      <c r="E236" s="8" t="s">
        <v>1535</v>
      </c>
      <c r="F236" s="8" t="s">
        <v>1536</v>
      </c>
      <c r="G236" s="6" t="s">
        <v>53</v>
      </c>
      <c r="H236" s="6" t="s">
        <v>67</v>
      </c>
      <c r="I236" s="8" t="s">
        <v>1537</v>
      </c>
      <c r="J236" s="9">
        <v>1</v>
      </c>
      <c r="K236" s="9">
        <v>110</v>
      </c>
      <c r="L236" s="9">
        <v>2019</v>
      </c>
      <c r="M236" s="8" t="s">
        <v>1538</v>
      </c>
      <c r="N236" s="8" t="s">
        <v>121</v>
      </c>
      <c r="O236" s="8" t="s">
        <v>122</v>
      </c>
      <c r="P236" s="6" t="s">
        <v>110</v>
      </c>
      <c r="Q236" s="8" t="s">
        <v>111</v>
      </c>
      <c r="R236" s="10" t="s">
        <v>802</v>
      </c>
      <c r="S236" s="11"/>
      <c r="T236" s="6"/>
      <c r="U236" s="28" t="str">
        <f>HYPERLINK("https://media.infra-m.ru/1027/1027877/cover/1027877.jpg", "Обложка")</f>
        <v>Обложка</v>
      </c>
      <c r="V236" s="28" t="str">
        <f>HYPERLINK("https://znanium.ru/catalog/product/1027877", "Ознакомиться")</f>
        <v>Ознакомиться</v>
      </c>
      <c r="W236" s="8" t="s">
        <v>1102</v>
      </c>
      <c r="X236" s="6"/>
      <c r="Y236" s="6"/>
      <c r="Z236" s="6"/>
      <c r="AA236" s="6" t="s">
        <v>126</v>
      </c>
    </row>
    <row r="237" spans="1:27" s="4" customFormat="1" ht="51.95" customHeight="1">
      <c r="A237" s="5">
        <v>0</v>
      </c>
      <c r="B237" s="6" t="s">
        <v>1539</v>
      </c>
      <c r="C237" s="13">
        <v>980</v>
      </c>
      <c r="D237" s="8" t="s">
        <v>1540</v>
      </c>
      <c r="E237" s="8" t="s">
        <v>1541</v>
      </c>
      <c r="F237" s="8" t="s">
        <v>231</v>
      </c>
      <c r="G237" s="6" t="s">
        <v>53</v>
      </c>
      <c r="H237" s="6" t="s">
        <v>67</v>
      </c>
      <c r="I237" s="8" t="s">
        <v>106</v>
      </c>
      <c r="J237" s="9">
        <v>1</v>
      </c>
      <c r="K237" s="9">
        <v>184</v>
      </c>
      <c r="L237" s="9">
        <v>2023</v>
      </c>
      <c r="M237" s="8" t="s">
        <v>1542</v>
      </c>
      <c r="N237" s="8" t="s">
        <v>41</v>
      </c>
      <c r="O237" s="8" t="s">
        <v>42</v>
      </c>
      <c r="P237" s="6" t="s">
        <v>110</v>
      </c>
      <c r="Q237" s="8" t="s">
        <v>111</v>
      </c>
      <c r="R237" s="10" t="s">
        <v>1543</v>
      </c>
      <c r="S237" s="11"/>
      <c r="T237" s="6"/>
      <c r="U237" s="28" t="str">
        <f>HYPERLINK("https://media.infra-m.ru/1938/1938077/cover/1938077.jpg", "Обложка")</f>
        <v>Обложка</v>
      </c>
      <c r="V237" s="28" t="str">
        <f>HYPERLINK("https://znanium.ru/catalog/product/1938077", "Ознакомиться")</f>
        <v>Ознакомиться</v>
      </c>
      <c r="W237" s="8" t="s">
        <v>235</v>
      </c>
      <c r="X237" s="6"/>
      <c r="Y237" s="6"/>
      <c r="Z237" s="6"/>
      <c r="AA237" s="6" t="s">
        <v>115</v>
      </c>
    </row>
    <row r="238" spans="1:27" s="4" customFormat="1" ht="51.95" customHeight="1">
      <c r="A238" s="5">
        <v>0</v>
      </c>
      <c r="B238" s="6" t="s">
        <v>1544</v>
      </c>
      <c r="C238" s="13">
        <v>720</v>
      </c>
      <c r="D238" s="8" t="s">
        <v>1545</v>
      </c>
      <c r="E238" s="8" t="s">
        <v>1546</v>
      </c>
      <c r="F238" s="8" t="s">
        <v>1547</v>
      </c>
      <c r="G238" s="6" t="s">
        <v>53</v>
      </c>
      <c r="H238" s="6" t="s">
        <v>67</v>
      </c>
      <c r="I238" s="8" t="s">
        <v>106</v>
      </c>
      <c r="J238" s="9">
        <v>1</v>
      </c>
      <c r="K238" s="9">
        <v>157</v>
      </c>
      <c r="L238" s="9">
        <v>2023</v>
      </c>
      <c r="M238" s="8" t="s">
        <v>1548</v>
      </c>
      <c r="N238" s="8" t="s">
        <v>41</v>
      </c>
      <c r="O238" s="8" t="s">
        <v>42</v>
      </c>
      <c r="P238" s="6" t="s">
        <v>110</v>
      </c>
      <c r="Q238" s="8" t="s">
        <v>111</v>
      </c>
      <c r="R238" s="10" t="s">
        <v>1549</v>
      </c>
      <c r="S238" s="11"/>
      <c r="T238" s="6"/>
      <c r="U238" s="28" t="str">
        <f>HYPERLINK("https://media.infra-m.ru/1893/1893845/cover/1893845.jpg", "Обложка")</f>
        <v>Обложка</v>
      </c>
      <c r="V238" s="28" t="str">
        <f>HYPERLINK("https://znanium.ru/catalog/product/1893845", "Ознакомиться")</f>
        <v>Ознакомиться</v>
      </c>
      <c r="W238" s="8" t="s">
        <v>803</v>
      </c>
      <c r="X238" s="6"/>
      <c r="Y238" s="6"/>
      <c r="Z238" s="6"/>
      <c r="AA238" s="6" t="s">
        <v>177</v>
      </c>
    </row>
    <row r="239" spans="1:27" s="4" customFormat="1" ht="51.95" customHeight="1">
      <c r="A239" s="5">
        <v>0</v>
      </c>
      <c r="B239" s="6" t="s">
        <v>1550</v>
      </c>
      <c r="C239" s="7">
        <v>1760</v>
      </c>
      <c r="D239" s="8" t="s">
        <v>1551</v>
      </c>
      <c r="E239" s="8" t="s">
        <v>1552</v>
      </c>
      <c r="F239" s="8" t="s">
        <v>629</v>
      </c>
      <c r="G239" s="6" t="s">
        <v>66</v>
      </c>
      <c r="H239" s="6" t="s">
        <v>67</v>
      </c>
      <c r="I239" s="8" t="s">
        <v>39</v>
      </c>
      <c r="J239" s="9">
        <v>1</v>
      </c>
      <c r="K239" s="9">
        <v>381</v>
      </c>
      <c r="L239" s="9">
        <v>2023</v>
      </c>
      <c r="M239" s="8" t="s">
        <v>1553</v>
      </c>
      <c r="N239" s="8" t="s">
        <v>41</v>
      </c>
      <c r="O239" s="8" t="s">
        <v>42</v>
      </c>
      <c r="P239" s="6" t="s">
        <v>43</v>
      </c>
      <c r="Q239" s="8" t="s">
        <v>44</v>
      </c>
      <c r="R239" s="10" t="s">
        <v>330</v>
      </c>
      <c r="S239" s="11" t="s">
        <v>1313</v>
      </c>
      <c r="T239" s="6"/>
      <c r="U239" s="28" t="str">
        <f>HYPERLINK("https://media.infra-m.ru/2126/2126638/cover/2126638.jpg", "Обложка")</f>
        <v>Обложка</v>
      </c>
      <c r="V239" s="28" t="str">
        <f>HYPERLINK("https://znanium.ru/catalog/product/2126638", "Ознакомиться")</f>
        <v>Ознакомиться</v>
      </c>
      <c r="W239" s="8" t="s">
        <v>625</v>
      </c>
      <c r="X239" s="6"/>
      <c r="Y239" s="6"/>
      <c r="Z239" s="6"/>
      <c r="AA239" s="6" t="s">
        <v>157</v>
      </c>
    </row>
    <row r="240" spans="1:27" s="4" customFormat="1" ht="51.95" customHeight="1">
      <c r="A240" s="5">
        <v>0</v>
      </c>
      <c r="B240" s="6" t="s">
        <v>1554</v>
      </c>
      <c r="C240" s="7">
        <v>1590</v>
      </c>
      <c r="D240" s="8" t="s">
        <v>1555</v>
      </c>
      <c r="E240" s="8" t="s">
        <v>1556</v>
      </c>
      <c r="F240" s="8" t="s">
        <v>231</v>
      </c>
      <c r="G240" s="6" t="s">
        <v>53</v>
      </c>
      <c r="H240" s="6" t="s">
        <v>67</v>
      </c>
      <c r="I240" s="8" t="s">
        <v>106</v>
      </c>
      <c r="J240" s="9">
        <v>1</v>
      </c>
      <c r="K240" s="9">
        <v>321</v>
      </c>
      <c r="L240" s="9">
        <v>2023</v>
      </c>
      <c r="M240" s="8" t="s">
        <v>1557</v>
      </c>
      <c r="N240" s="8" t="s">
        <v>41</v>
      </c>
      <c r="O240" s="8" t="s">
        <v>42</v>
      </c>
      <c r="P240" s="6" t="s">
        <v>110</v>
      </c>
      <c r="Q240" s="8" t="s">
        <v>111</v>
      </c>
      <c r="R240" s="10" t="s">
        <v>1558</v>
      </c>
      <c r="S240" s="11"/>
      <c r="T240" s="6"/>
      <c r="U240" s="28" t="str">
        <f>HYPERLINK("https://media.infra-m.ru/1863/1863094/cover/1863094.jpg", "Обложка")</f>
        <v>Обложка</v>
      </c>
      <c r="V240" s="28" t="str">
        <f>HYPERLINK("https://znanium.ru/catalog/product/1863094", "Ознакомиться")</f>
        <v>Ознакомиться</v>
      </c>
      <c r="W240" s="8" t="s">
        <v>235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1559</v>
      </c>
      <c r="C241" s="13">
        <v>990</v>
      </c>
      <c r="D241" s="8" t="s">
        <v>1560</v>
      </c>
      <c r="E241" s="8" t="s">
        <v>1561</v>
      </c>
      <c r="F241" s="8" t="s">
        <v>1562</v>
      </c>
      <c r="G241" s="6" t="s">
        <v>66</v>
      </c>
      <c r="H241" s="6" t="s">
        <v>67</v>
      </c>
      <c r="I241" s="8" t="s">
        <v>68</v>
      </c>
      <c r="J241" s="9">
        <v>1</v>
      </c>
      <c r="K241" s="9">
        <v>218</v>
      </c>
      <c r="L241" s="9">
        <v>2023</v>
      </c>
      <c r="M241" s="8" t="s">
        <v>1563</v>
      </c>
      <c r="N241" s="8" t="s">
        <v>41</v>
      </c>
      <c r="O241" s="8" t="s">
        <v>42</v>
      </c>
      <c r="P241" s="6" t="s">
        <v>70</v>
      </c>
      <c r="Q241" s="8" t="s">
        <v>71</v>
      </c>
      <c r="R241" s="10" t="s">
        <v>1564</v>
      </c>
      <c r="S241" s="11" t="s">
        <v>1565</v>
      </c>
      <c r="T241" s="6"/>
      <c r="U241" s="28" t="str">
        <f>HYPERLINK("https://media.infra-m.ru/2023/2023172/cover/2023172.jpg", "Обложка")</f>
        <v>Обложка</v>
      </c>
      <c r="V241" s="28" t="str">
        <f>HYPERLINK("https://znanium.ru/catalog/product/2023172", "Ознакомиться")</f>
        <v>Ознакомиться</v>
      </c>
      <c r="W241" s="8" t="s">
        <v>74</v>
      </c>
      <c r="X241" s="6"/>
      <c r="Y241" s="6" t="s">
        <v>30</v>
      </c>
      <c r="Z241" s="6"/>
      <c r="AA241" s="6" t="s">
        <v>83</v>
      </c>
    </row>
    <row r="242" spans="1:27" s="4" customFormat="1" ht="51.95" customHeight="1">
      <c r="A242" s="5">
        <v>0</v>
      </c>
      <c r="B242" s="6" t="s">
        <v>1566</v>
      </c>
      <c r="C242" s="13">
        <v>744</v>
      </c>
      <c r="D242" s="8" t="s">
        <v>1567</v>
      </c>
      <c r="E242" s="8" t="s">
        <v>1568</v>
      </c>
      <c r="F242" s="8" t="s">
        <v>629</v>
      </c>
      <c r="G242" s="6" t="s">
        <v>37</v>
      </c>
      <c r="H242" s="6" t="s">
        <v>67</v>
      </c>
      <c r="I242" s="8" t="s">
        <v>39</v>
      </c>
      <c r="J242" s="9">
        <v>1</v>
      </c>
      <c r="K242" s="9">
        <v>158</v>
      </c>
      <c r="L242" s="9">
        <v>2024</v>
      </c>
      <c r="M242" s="8" t="s">
        <v>1569</v>
      </c>
      <c r="N242" s="8" t="s">
        <v>41</v>
      </c>
      <c r="O242" s="8" t="s">
        <v>42</v>
      </c>
      <c r="P242" s="6" t="s">
        <v>43</v>
      </c>
      <c r="Q242" s="8" t="s">
        <v>44</v>
      </c>
      <c r="R242" s="10" t="s">
        <v>330</v>
      </c>
      <c r="S242" s="11" t="s">
        <v>1570</v>
      </c>
      <c r="T242" s="6"/>
      <c r="U242" s="28" t="str">
        <f>HYPERLINK("https://media.infra-m.ru/2134/2134480/cover/2134480.jpg", "Обложка")</f>
        <v>Обложка</v>
      </c>
      <c r="V242" s="28" t="str">
        <f>HYPERLINK("https://znanium.ru/catalog/product/1017321", "Ознакомиться")</f>
        <v>Ознакомиться</v>
      </c>
      <c r="W242" s="8" t="s">
        <v>625</v>
      </c>
      <c r="X242" s="6"/>
      <c r="Y242" s="6"/>
      <c r="Z242" s="6"/>
      <c r="AA242" s="6" t="s">
        <v>354</v>
      </c>
    </row>
    <row r="243" spans="1:27" s="4" customFormat="1" ht="51.95" customHeight="1">
      <c r="A243" s="5">
        <v>0</v>
      </c>
      <c r="B243" s="6" t="s">
        <v>1571</v>
      </c>
      <c r="C243" s="7">
        <v>1014.9</v>
      </c>
      <c r="D243" s="8" t="s">
        <v>1572</v>
      </c>
      <c r="E243" s="8" t="s">
        <v>1573</v>
      </c>
      <c r="F243" s="8" t="s">
        <v>1574</v>
      </c>
      <c r="G243" s="6" t="s">
        <v>53</v>
      </c>
      <c r="H243" s="6" t="s">
        <v>283</v>
      </c>
      <c r="I243" s="8" t="s">
        <v>1575</v>
      </c>
      <c r="J243" s="9">
        <v>1</v>
      </c>
      <c r="K243" s="9">
        <v>112</v>
      </c>
      <c r="L243" s="9">
        <v>2023</v>
      </c>
      <c r="M243" s="8" t="s">
        <v>1576</v>
      </c>
      <c r="N243" s="8" t="s">
        <v>108</v>
      </c>
      <c r="O243" s="8" t="s">
        <v>109</v>
      </c>
      <c r="P243" s="6" t="s">
        <v>43</v>
      </c>
      <c r="Q243" s="8" t="s">
        <v>44</v>
      </c>
      <c r="R243" s="10" t="s">
        <v>1577</v>
      </c>
      <c r="S243" s="11" t="s">
        <v>1578</v>
      </c>
      <c r="T243" s="6"/>
      <c r="U243" s="28" t="str">
        <f>HYPERLINK("https://media.infra-m.ru/1911/1911186/cover/1911186.jpg", "Обложка")</f>
        <v>Обложка</v>
      </c>
      <c r="V243" s="28" t="str">
        <f>HYPERLINK("https://znanium.ru/catalog/product/997137", "Ознакомиться")</f>
        <v>Ознакомиться</v>
      </c>
      <c r="W243" s="8" t="s">
        <v>288</v>
      </c>
      <c r="X243" s="6"/>
      <c r="Y243" s="6"/>
      <c r="Z243" s="6"/>
      <c r="AA243" s="6" t="s">
        <v>227</v>
      </c>
    </row>
    <row r="244" spans="1:27" s="4" customFormat="1" ht="51.95" customHeight="1">
      <c r="A244" s="5">
        <v>0</v>
      </c>
      <c r="B244" s="6" t="s">
        <v>1579</v>
      </c>
      <c r="C244" s="13">
        <v>900</v>
      </c>
      <c r="D244" s="8" t="s">
        <v>1580</v>
      </c>
      <c r="E244" s="8" t="s">
        <v>1581</v>
      </c>
      <c r="F244" s="8" t="s">
        <v>1582</v>
      </c>
      <c r="G244" s="6" t="s">
        <v>66</v>
      </c>
      <c r="H244" s="6" t="s">
        <v>67</v>
      </c>
      <c r="I244" s="8" t="s">
        <v>95</v>
      </c>
      <c r="J244" s="9">
        <v>1</v>
      </c>
      <c r="K244" s="9">
        <v>195</v>
      </c>
      <c r="L244" s="9">
        <v>2023</v>
      </c>
      <c r="M244" s="8" t="s">
        <v>1583</v>
      </c>
      <c r="N244" s="8" t="s">
        <v>41</v>
      </c>
      <c r="O244" s="8" t="s">
        <v>42</v>
      </c>
      <c r="P244" s="6" t="s">
        <v>43</v>
      </c>
      <c r="Q244" s="8" t="s">
        <v>97</v>
      </c>
      <c r="R244" s="10" t="s">
        <v>98</v>
      </c>
      <c r="S244" s="11" t="s">
        <v>1584</v>
      </c>
      <c r="T244" s="6" t="s">
        <v>59</v>
      </c>
      <c r="U244" s="28" t="str">
        <f>HYPERLINK("https://media.infra-m.ru/2126/2126642/cover/2126642.jpg", "Обложка")</f>
        <v>Обложка</v>
      </c>
      <c r="V244" s="28" t="str">
        <f>HYPERLINK("https://znanium.ru/catalog/product/2126642", "Ознакомиться")</f>
        <v>Ознакомиться</v>
      </c>
      <c r="W244" s="8" t="s">
        <v>1585</v>
      </c>
      <c r="X244" s="6"/>
      <c r="Y244" s="6"/>
      <c r="Z244" s="6"/>
      <c r="AA244" s="6" t="s">
        <v>236</v>
      </c>
    </row>
    <row r="245" spans="1:27" s="4" customFormat="1" ht="51.95" customHeight="1">
      <c r="A245" s="5">
        <v>0</v>
      </c>
      <c r="B245" s="6" t="s">
        <v>1586</v>
      </c>
      <c r="C245" s="7">
        <v>1614</v>
      </c>
      <c r="D245" s="8" t="s">
        <v>1587</v>
      </c>
      <c r="E245" s="8" t="s">
        <v>1588</v>
      </c>
      <c r="F245" s="8" t="s">
        <v>1589</v>
      </c>
      <c r="G245" s="6" t="s">
        <v>37</v>
      </c>
      <c r="H245" s="6" t="s">
        <v>38</v>
      </c>
      <c r="I245" s="8" t="s">
        <v>853</v>
      </c>
      <c r="J245" s="9">
        <v>1</v>
      </c>
      <c r="K245" s="9">
        <v>363</v>
      </c>
      <c r="L245" s="9">
        <v>2024</v>
      </c>
      <c r="M245" s="8" t="s">
        <v>1590</v>
      </c>
      <c r="N245" s="8" t="s">
        <v>121</v>
      </c>
      <c r="O245" s="8" t="s">
        <v>122</v>
      </c>
      <c r="P245" s="6" t="s">
        <v>70</v>
      </c>
      <c r="Q245" s="8" t="s">
        <v>44</v>
      </c>
      <c r="R245" s="10" t="s">
        <v>1591</v>
      </c>
      <c r="S245" s="11" t="s">
        <v>1592</v>
      </c>
      <c r="T245" s="6"/>
      <c r="U245" s="28" t="str">
        <f>HYPERLINK("https://media.infra-m.ru/1913/1913015/cover/1913015.jpg", "Обложка")</f>
        <v>Обложка</v>
      </c>
      <c r="V245" s="28" t="str">
        <f>HYPERLINK("https://znanium.ru/catalog/product/1913015", "Ознакомиться")</f>
        <v>Ознакомиться</v>
      </c>
      <c r="W245" s="8" t="s">
        <v>1173</v>
      </c>
      <c r="X245" s="6"/>
      <c r="Y245" s="6"/>
      <c r="Z245" s="6"/>
      <c r="AA245" s="6" t="s">
        <v>572</v>
      </c>
    </row>
    <row r="246" spans="1:27" s="4" customFormat="1" ht="42" customHeight="1">
      <c r="A246" s="5">
        <v>0</v>
      </c>
      <c r="B246" s="6" t="s">
        <v>1593</v>
      </c>
      <c r="C246" s="7">
        <v>1154.9000000000001</v>
      </c>
      <c r="D246" s="8" t="s">
        <v>1594</v>
      </c>
      <c r="E246" s="8" t="s">
        <v>1595</v>
      </c>
      <c r="F246" s="8" t="s">
        <v>1596</v>
      </c>
      <c r="G246" s="6" t="s">
        <v>37</v>
      </c>
      <c r="H246" s="6" t="s">
        <v>1491</v>
      </c>
      <c r="I246" s="8"/>
      <c r="J246" s="9">
        <v>1</v>
      </c>
      <c r="K246" s="9">
        <v>256</v>
      </c>
      <c r="L246" s="9">
        <v>2023</v>
      </c>
      <c r="M246" s="8" t="s">
        <v>1597</v>
      </c>
      <c r="N246" s="8" t="s">
        <v>121</v>
      </c>
      <c r="O246" s="8" t="s">
        <v>122</v>
      </c>
      <c r="P246" s="6" t="s">
        <v>43</v>
      </c>
      <c r="Q246" s="8" t="s">
        <v>44</v>
      </c>
      <c r="R246" s="10" t="s">
        <v>123</v>
      </c>
      <c r="S246" s="11"/>
      <c r="T246" s="6" t="s">
        <v>59</v>
      </c>
      <c r="U246" s="28" t="str">
        <f>HYPERLINK("https://media.infra-m.ru/1896/1896988/cover/1896988.jpg", "Обложка")</f>
        <v>Обложка</v>
      </c>
      <c r="V246" s="28" t="str">
        <f>HYPERLINK("https://znanium.ru/catalog/product/959887", "Ознакомиться")</f>
        <v>Ознакомиться</v>
      </c>
      <c r="W246" s="8" t="s">
        <v>1598</v>
      </c>
      <c r="X246" s="6"/>
      <c r="Y246" s="6"/>
      <c r="Z246" s="6"/>
      <c r="AA246" s="6" t="s">
        <v>710</v>
      </c>
    </row>
    <row r="247" spans="1:27" s="4" customFormat="1" ht="51.95" customHeight="1">
      <c r="A247" s="5">
        <v>0</v>
      </c>
      <c r="B247" s="6" t="s">
        <v>1599</v>
      </c>
      <c r="C247" s="7">
        <v>2050</v>
      </c>
      <c r="D247" s="8" t="s">
        <v>1600</v>
      </c>
      <c r="E247" s="8" t="s">
        <v>1601</v>
      </c>
      <c r="F247" s="8" t="s">
        <v>1602</v>
      </c>
      <c r="G247" s="6" t="s">
        <v>37</v>
      </c>
      <c r="H247" s="6" t="s">
        <v>1170</v>
      </c>
      <c r="I247" s="8" t="s">
        <v>54</v>
      </c>
      <c r="J247" s="9">
        <v>1</v>
      </c>
      <c r="K247" s="9">
        <v>447</v>
      </c>
      <c r="L247" s="9">
        <v>2024</v>
      </c>
      <c r="M247" s="8" t="s">
        <v>1603</v>
      </c>
      <c r="N247" s="8" t="s">
        <v>121</v>
      </c>
      <c r="O247" s="8" t="s">
        <v>122</v>
      </c>
      <c r="P247" s="6" t="s">
        <v>43</v>
      </c>
      <c r="Q247" s="8" t="s">
        <v>44</v>
      </c>
      <c r="R247" s="10" t="s">
        <v>1604</v>
      </c>
      <c r="S247" s="11" t="s">
        <v>1605</v>
      </c>
      <c r="T247" s="6"/>
      <c r="U247" s="28" t="str">
        <f>HYPERLINK("https://media.infra-m.ru/2083/2083502/cover/2083502.jpg", "Обложка")</f>
        <v>Обложка</v>
      </c>
      <c r="V247" s="28" t="str">
        <f>HYPERLINK("https://znanium.ru/catalog/product/2083502", "Ознакомиться")</f>
        <v>Ознакомиться</v>
      </c>
      <c r="W247" s="8" t="s">
        <v>1606</v>
      </c>
      <c r="X247" s="6"/>
      <c r="Y247" s="6"/>
      <c r="Z247" s="6"/>
      <c r="AA247" s="6" t="s">
        <v>185</v>
      </c>
    </row>
    <row r="248" spans="1:27" s="4" customFormat="1" ht="44.1" customHeight="1">
      <c r="A248" s="5">
        <v>0</v>
      </c>
      <c r="B248" s="6" t="s">
        <v>1607</v>
      </c>
      <c r="C248" s="7">
        <v>1580</v>
      </c>
      <c r="D248" s="8" t="s">
        <v>1608</v>
      </c>
      <c r="E248" s="8" t="s">
        <v>1609</v>
      </c>
      <c r="F248" s="8" t="s">
        <v>1602</v>
      </c>
      <c r="G248" s="6" t="s">
        <v>66</v>
      </c>
      <c r="H248" s="6" t="s">
        <v>1170</v>
      </c>
      <c r="I248" s="8" t="s">
        <v>39</v>
      </c>
      <c r="J248" s="9">
        <v>1</v>
      </c>
      <c r="K248" s="9">
        <v>336</v>
      </c>
      <c r="L248" s="9">
        <v>2020</v>
      </c>
      <c r="M248" s="8" t="s">
        <v>1610</v>
      </c>
      <c r="N248" s="8" t="s">
        <v>121</v>
      </c>
      <c r="O248" s="8" t="s">
        <v>122</v>
      </c>
      <c r="P248" s="6" t="s">
        <v>43</v>
      </c>
      <c r="Q248" s="8" t="s">
        <v>44</v>
      </c>
      <c r="R248" s="10" t="s">
        <v>1604</v>
      </c>
      <c r="S248" s="11"/>
      <c r="T248" s="6"/>
      <c r="U248" s="28" t="str">
        <f>HYPERLINK("https://media.infra-m.ru/1085/1085897/cover/1085897.jpg", "Обложка")</f>
        <v>Обложка</v>
      </c>
      <c r="V248" s="28" t="str">
        <f>HYPERLINK("https://znanium.ru/catalog/product/2083502", "Ознакомиться")</f>
        <v>Ознакомиться</v>
      </c>
      <c r="W248" s="8" t="s">
        <v>1606</v>
      </c>
      <c r="X248" s="6"/>
      <c r="Y248" s="6"/>
      <c r="Z248" s="6"/>
      <c r="AA248" s="6" t="s">
        <v>289</v>
      </c>
    </row>
    <row r="249" spans="1:27" s="4" customFormat="1" ht="51.95" customHeight="1">
      <c r="A249" s="5">
        <v>0</v>
      </c>
      <c r="B249" s="6" t="s">
        <v>1611</v>
      </c>
      <c r="C249" s="7">
        <v>1414</v>
      </c>
      <c r="D249" s="8" t="s">
        <v>1612</v>
      </c>
      <c r="E249" s="8" t="s">
        <v>1613</v>
      </c>
      <c r="F249" s="8" t="s">
        <v>1614</v>
      </c>
      <c r="G249" s="6" t="s">
        <v>66</v>
      </c>
      <c r="H249" s="6" t="s">
        <v>67</v>
      </c>
      <c r="I249" s="8" t="s">
        <v>68</v>
      </c>
      <c r="J249" s="9">
        <v>1</v>
      </c>
      <c r="K249" s="9">
        <v>300</v>
      </c>
      <c r="L249" s="9">
        <v>2024</v>
      </c>
      <c r="M249" s="8" t="s">
        <v>1615</v>
      </c>
      <c r="N249" s="8" t="s">
        <v>121</v>
      </c>
      <c r="O249" s="8" t="s">
        <v>122</v>
      </c>
      <c r="P249" s="6" t="s">
        <v>70</v>
      </c>
      <c r="Q249" s="8" t="s">
        <v>71</v>
      </c>
      <c r="R249" s="10" t="s">
        <v>1616</v>
      </c>
      <c r="S249" s="11" t="s">
        <v>1617</v>
      </c>
      <c r="T249" s="6"/>
      <c r="U249" s="28" t="str">
        <f>HYPERLINK("https://media.infra-m.ru/2138/2138061/cover/2138061.jpg", "Обложка")</f>
        <v>Обложка</v>
      </c>
      <c r="V249" s="28" t="str">
        <f>HYPERLINK("https://znanium.ru/catalog/product/1788466", "Ознакомиться")</f>
        <v>Ознакомиться</v>
      </c>
      <c r="W249" s="8" t="s">
        <v>1618</v>
      </c>
      <c r="X249" s="6"/>
      <c r="Y249" s="6"/>
      <c r="Z249" s="6"/>
      <c r="AA249" s="6" t="s">
        <v>1619</v>
      </c>
    </row>
    <row r="250" spans="1:27" s="4" customFormat="1" ht="51.95" customHeight="1">
      <c r="A250" s="5">
        <v>0</v>
      </c>
      <c r="B250" s="6" t="s">
        <v>1620</v>
      </c>
      <c r="C250" s="7">
        <v>1100</v>
      </c>
      <c r="D250" s="8" t="s">
        <v>1621</v>
      </c>
      <c r="E250" s="8" t="s">
        <v>1622</v>
      </c>
      <c r="F250" s="8" t="s">
        <v>1623</v>
      </c>
      <c r="G250" s="6" t="s">
        <v>37</v>
      </c>
      <c r="H250" s="6" t="s">
        <v>67</v>
      </c>
      <c r="I250" s="8" t="s">
        <v>39</v>
      </c>
      <c r="J250" s="9">
        <v>1</v>
      </c>
      <c r="K250" s="9">
        <v>272</v>
      </c>
      <c r="L250" s="9">
        <v>2021</v>
      </c>
      <c r="M250" s="8" t="s">
        <v>1624</v>
      </c>
      <c r="N250" s="8" t="s">
        <v>121</v>
      </c>
      <c r="O250" s="8" t="s">
        <v>122</v>
      </c>
      <c r="P250" s="6" t="s">
        <v>70</v>
      </c>
      <c r="Q250" s="8" t="s">
        <v>44</v>
      </c>
      <c r="R250" s="10" t="s">
        <v>945</v>
      </c>
      <c r="S250" s="11" t="s">
        <v>1625</v>
      </c>
      <c r="T250" s="6"/>
      <c r="U250" s="28" t="str">
        <f>HYPERLINK("https://media.infra-m.ru/1056/1056567/cover/1056567.jpg", "Обложка")</f>
        <v>Обложка</v>
      </c>
      <c r="V250" s="28" t="str">
        <f>HYPERLINK("https://znanium.ru/catalog/product/1056567", "Ознакомиться")</f>
        <v>Ознакомиться</v>
      </c>
      <c r="W250" s="8" t="s">
        <v>125</v>
      </c>
      <c r="X250" s="6"/>
      <c r="Y250" s="6"/>
      <c r="Z250" s="6"/>
      <c r="AA250" s="6" t="s">
        <v>236</v>
      </c>
    </row>
    <row r="251" spans="1:27" s="4" customFormat="1" ht="51.95" customHeight="1">
      <c r="A251" s="5">
        <v>0</v>
      </c>
      <c r="B251" s="6" t="s">
        <v>1626</v>
      </c>
      <c r="C251" s="7">
        <v>1630</v>
      </c>
      <c r="D251" s="8" t="s">
        <v>1627</v>
      </c>
      <c r="E251" s="8" t="s">
        <v>1628</v>
      </c>
      <c r="F251" s="8" t="s">
        <v>1629</v>
      </c>
      <c r="G251" s="6" t="s">
        <v>66</v>
      </c>
      <c r="H251" s="6" t="s">
        <v>67</v>
      </c>
      <c r="I251" s="8" t="s">
        <v>39</v>
      </c>
      <c r="J251" s="9">
        <v>1</v>
      </c>
      <c r="K251" s="9">
        <v>360</v>
      </c>
      <c r="L251" s="9">
        <v>2023</v>
      </c>
      <c r="M251" s="8" t="s">
        <v>1630</v>
      </c>
      <c r="N251" s="8" t="s">
        <v>121</v>
      </c>
      <c r="O251" s="8" t="s">
        <v>122</v>
      </c>
      <c r="P251" s="6" t="s">
        <v>70</v>
      </c>
      <c r="Q251" s="8" t="s">
        <v>44</v>
      </c>
      <c r="R251" s="10" t="s">
        <v>1631</v>
      </c>
      <c r="S251" s="11" t="s">
        <v>1632</v>
      </c>
      <c r="T251" s="6" t="s">
        <v>59</v>
      </c>
      <c r="U251" s="28" t="str">
        <f>HYPERLINK("https://media.infra-m.ru/1911/1911196/cover/1911196.jpg", "Обложка")</f>
        <v>Обложка</v>
      </c>
      <c r="V251" s="28" t="str">
        <f>HYPERLINK("https://znanium.ru/catalog/product/1911196", "Ознакомиться")</f>
        <v>Ознакомиться</v>
      </c>
      <c r="W251" s="8" t="s">
        <v>803</v>
      </c>
      <c r="X251" s="6"/>
      <c r="Y251" s="6"/>
      <c r="Z251" s="6"/>
      <c r="AA251" s="6" t="s">
        <v>354</v>
      </c>
    </row>
    <row r="252" spans="1:27" s="4" customFormat="1" ht="42" customHeight="1">
      <c r="A252" s="5">
        <v>0</v>
      </c>
      <c r="B252" s="6" t="s">
        <v>1633</v>
      </c>
      <c r="C252" s="13">
        <v>560</v>
      </c>
      <c r="D252" s="8" t="s">
        <v>1634</v>
      </c>
      <c r="E252" s="8" t="s">
        <v>1635</v>
      </c>
      <c r="F252" s="8" t="s">
        <v>1636</v>
      </c>
      <c r="G252" s="6" t="s">
        <v>53</v>
      </c>
      <c r="H252" s="6" t="s">
        <v>67</v>
      </c>
      <c r="I252" s="8" t="s">
        <v>106</v>
      </c>
      <c r="J252" s="9">
        <v>1</v>
      </c>
      <c r="K252" s="9">
        <v>124</v>
      </c>
      <c r="L252" s="9">
        <v>2018</v>
      </c>
      <c r="M252" s="8" t="s">
        <v>1637</v>
      </c>
      <c r="N252" s="8" t="s">
        <v>121</v>
      </c>
      <c r="O252" s="8" t="s">
        <v>122</v>
      </c>
      <c r="P252" s="6" t="s">
        <v>110</v>
      </c>
      <c r="Q252" s="8" t="s">
        <v>111</v>
      </c>
      <c r="R252" s="10" t="s">
        <v>1638</v>
      </c>
      <c r="S252" s="11"/>
      <c r="T252" s="6"/>
      <c r="U252" s="28" t="str">
        <f>HYPERLINK("https://media.infra-m.ru/1947/1947356/cover/1947356.jpg", "Обложка")</f>
        <v>Обложка</v>
      </c>
      <c r="V252" s="28" t="str">
        <f>HYPERLINK("https://znanium.ru/catalog/product/925788", "Ознакомиться")</f>
        <v>Ознакомиться</v>
      </c>
      <c r="W252" s="8" t="s">
        <v>1173</v>
      </c>
      <c r="X252" s="6"/>
      <c r="Y252" s="6"/>
      <c r="Z252" s="6"/>
      <c r="AA252" s="6" t="s">
        <v>227</v>
      </c>
    </row>
    <row r="253" spans="1:27" s="4" customFormat="1" ht="42" customHeight="1">
      <c r="A253" s="5">
        <v>0</v>
      </c>
      <c r="B253" s="6" t="s">
        <v>1639</v>
      </c>
      <c r="C253" s="13">
        <v>594</v>
      </c>
      <c r="D253" s="8" t="s">
        <v>1640</v>
      </c>
      <c r="E253" s="8" t="s">
        <v>1635</v>
      </c>
      <c r="F253" s="8" t="s">
        <v>1636</v>
      </c>
      <c r="G253" s="6" t="s">
        <v>53</v>
      </c>
      <c r="H253" s="6" t="s">
        <v>67</v>
      </c>
      <c r="I253" s="8" t="s">
        <v>106</v>
      </c>
      <c r="J253" s="9">
        <v>1</v>
      </c>
      <c r="K253" s="9">
        <v>120</v>
      </c>
      <c r="L253" s="9">
        <v>2023</v>
      </c>
      <c r="M253" s="8" t="s">
        <v>1641</v>
      </c>
      <c r="N253" s="8" t="s">
        <v>121</v>
      </c>
      <c r="O253" s="8" t="s">
        <v>122</v>
      </c>
      <c r="P253" s="6" t="s">
        <v>110</v>
      </c>
      <c r="Q253" s="8" t="s">
        <v>111</v>
      </c>
      <c r="R253" s="10" t="s">
        <v>1642</v>
      </c>
      <c r="S253" s="11"/>
      <c r="T253" s="6"/>
      <c r="U253" s="28" t="str">
        <f>HYPERLINK("https://media.infra-m.ru/2006/2006922/cover/2006922.jpg", "Обложка")</f>
        <v>Обложка</v>
      </c>
      <c r="V253" s="28" t="str">
        <f>HYPERLINK("https://znanium.ru/catalog/product/1035823", "Ознакомиться")</f>
        <v>Ознакомиться</v>
      </c>
      <c r="W253" s="8" t="s">
        <v>1173</v>
      </c>
      <c r="X253" s="6"/>
      <c r="Y253" s="6"/>
      <c r="Z253" s="6"/>
      <c r="AA253" s="6" t="s">
        <v>101</v>
      </c>
    </row>
    <row r="254" spans="1:27" s="4" customFormat="1" ht="51.95" customHeight="1">
      <c r="A254" s="5">
        <v>0</v>
      </c>
      <c r="B254" s="6" t="s">
        <v>1643</v>
      </c>
      <c r="C254" s="7">
        <v>1070</v>
      </c>
      <c r="D254" s="8" t="s">
        <v>1644</v>
      </c>
      <c r="E254" s="8" t="s">
        <v>1645</v>
      </c>
      <c r="F254" s="8" t="s">
        <v>1646</v>
      </c>
      <c r="G254" s="6" t="s">
        <v>66</v>
      </c>
      <c r="H254" s="6" t="s">
        <v>67</v>
      </c>
      <c r="I254" s="8" t="s">
        <v>68</v>
      </c>
      <c r="J254" s="9">
        <v>1</v>
      </c>
      <c r="K254" s="9">
        <v>237</v>
      </c>
      <c r="L254" s="9">
        <v>2024</v>
      </c>
      <c r="M254" s="8" t="s">
        <v>1647</v>
      </c>
      <c r="N254" s="8" t="s">
        <v>41</v>
      </c>
      <c r="O254" s="8" t="s">
        <v>42</v>
      </c>
      <c r="P254" s="6" t="s">
        <v>70</v>
      </c>
      <c r="Q254" s="8" t="s">
        <v>71</v>
      </c>
      <c r="R254" s="10" t="s">
        <v>1648</v>
      </c>
      <c r="S254" s="11" t="s">
        <v>1649</v>
      </c>
      <c r="T254" s="6"/>
      <c r="U254" s="28" t="str">
        <f>HYPERLINK("https://media.infra-m.ru/2053/2053987/cover/2053987.jpg", "Обложка")</f>
        <v>Обложка</v>
      </c>
      <c r="V254" s="28" t="str">
        <f>HYPERLINK("https://znanium.ru/catalog/product/2053987", "Ознакомиться")</f>
        <v>Ознакомиться</v>
      </c>
      <c r="W254" s="8" t="s">
        <v>74</v>
      </c>
      <c r="X254" s="6"/>
      <c r="Y254" s="6"/>
      <c r="Z254" s="6"/>
      <c r="AA254" s="6" t="s">
        <v>305</v>
      </c>
    </row>
    <row r="255" spans="1:27" s="4" customFormat="1" ht="51.95" customHeight="1">
      <c r="A255" s="5">
        <v>0</v>
      </c>
      <c r="B255" s="6" t="s">
        <v>1650</v>
      </c>
      <c r="C255" s="7">
        <v>1390</v>
      </c>
      <c r="D255" s="8" t="s">
        <v>1651</v>
      </c>
      <c r="E255" s="8" t="s">
        <v>1652</v>
      </c>
      <c r="F255" s="8" t="s">
        <v>1653</v>
      </c>
      <c r="G255" s="6" t="s">
        <v>66</v>
      </c>
      <c r="H255" s="6" t="s">
        <v>67</v>
      </c>
      <c r="I255" s="8" t="s">
        <v>68</v>
      </c>
      <c r="J255" s="9">
        <v>1</v>
      </c>
      <c r="K255" s="9">
        <v>295</v>
      </c>
      <c r="L255" s="9">
        <v>2024</v>
      </c>
      <c r="M255" s="8" t="s">
        <v>1654</v>
      </c>
      <c r="N255" s="8" t="s">
        <v>41</v>
      </c>
      <c r="O255" s="8" t="s">
        <v>42</v>
      </c>
      <c r="P255" s="6" t="s">
        <v>70</v>
      </c>
      <c r="Q255" s="8" t="s">
        <v>71</v>
      </c>
      <c r="R255" s="10" t="s">
        <v>1655</v>
      </c>
      <c r="S255" s="11" t="s">
        <v>1656</v>
      </c>
      <c r="T255" s="6"/>
      <c r="U255" s="28" t="str">
        <f>HYPERLINK("https://media.infra-m.ru/2104/2104117/cover/2104117.jpg", "Обложка")</f>
        <v>Обложка</v>
      </c>
      <c r="V255" s="28" t="str">
        <f>HYPERLINK("https://znanium.ru/catalog/product/2104117", "Ознакомиться")</f>
        <v>Ознакомиться</v>
      </c>
      <c r="W255" s="8" t="s">
        <v>817</v>
      </c>
      <c r="X255" s="6"/>
      <c r="Y255" s="6" t="s">
        <v>30</v>
      </c>
      <c r="Z255" s="6"/>
      <c r="AA255" s="6" t="s">
        <v>236</v>
      </c>
    </row>
    <row r="256" spans="1:27" s="4" customFormat="1" ht="51.95" customHeight="1">
      <c r="A256" s="5">
        <v>0</v>
      </c>
      <c r="B256" s="6" t="s">
        <v>1657</v>
      </c>
      <c r="C256" s="7">
        <v>1904</v>
      </c>
      <c r="D256" s="8" t="s">
        <v>1658</v>
      </c>
      <c r="E256" s="8" t="s">
        <v>1659</v>
      </c>
      <c r="F256" s="8" t="s">
        <v>1660</v>
      </c>
      <c r="G256" s="6" t="s">
        <v>66</v>
      </c>
      <c r="H256" s="6" t="s">
        <v>67</v>
      </c>
      <c r="I256" s="8" t="s">
        <v>68</v>
      </c>
      <c r="J256" s="9">
        <v>1</v>
      </c>
      <c r="K256" s="9">
        <v>405</v>
      </c>
      <c r="L256" s="9">
        <v>2024</v>
      </c>
      <c r="M256" s="8" t="s">
        <v>1661</v>
      </c>
      <c r="N256" s="8" t="s">
        <v>41</v>
      </c>
      <c r="O256" s="8" t="s">
        <v>42</v>
      </c>
      <c r="P256" s="6" t="s">
        <v>70</v>
      </c>
      <c r="Q256" s="8" t="s">
        <v>71</v>
      </c>
      <c r="R256" s="10" t="s">
        <v>1662</v>
      </c>
      <c r="S256" s="11" t="s">
        <v>1663</v>
      </c>
      <c r="T256" s="6"/>
      <c r="U256" s="28" t="str">
        <f>HYPERLINK("https://media.infra-m.ru/2144/2144300/cover/2144300.jpg", "Обложка")</f>
        <v>Обложка</v>
      </c>
      <c r="V256" s="28" t="str">
        <f>HYPERLINK("https://znanium.ru/catalog/product/1922318", "Ознакомиться")</f>
        <v>Ознакомиться</v>
      </c>
      <c r="W256" s="8" t="s">
        <v>140</v>
      </c>
      <c r="X256" s="6"/>
      <c r="Y256" s="6"/>
      <c r="Z256" s="6"/>
      <c r="AA256" s="6" t="s">
        <v>1664</v>
      </c>
    </row>
    <row r="257" spans="1:27" s="4" customFormat="1" ht="44.1" customHeight="1">
      <c r="A257" s="5">
        <v>0</v>
      </c>
      <c r="B257" s="6" t="s">
        <v>1665</v>
      </c>
      <c r="C257" s="7">
        <v>1480</v>
      </c>
      <c r="D257" s="8" t="s">
        <v>1666</v>
      </c>
      <c r="E257" s="8" t="s">
        <v>1667</v>
      </c>
      <c r="F257" s="8" t="s">
        <v>1668</v>
      </c>
      <c r="G257" s="6" t="s">
        <v>53</v>
      </c>
      <c r="H257" s="6" t="s">
        <v>67</v>
      </c>
      <c r="I257" s="8" t="s">
        <v>106</v>
      </c>
      <c r="J257" s="9">
        <v>1</v>
      </c>
      <c r="K257" s="9">
        <v>329</v>
      </c>
      <c r="L257" s="9">
        <v>2023</v>
      </c>
      <c r="M257" s="8" t="s">
        <v>1669</v>
      </c>
      <c r="N257" s="8" t="s">
        <v>41</v>
      </c>
      <c r="O257" s="8" t="s">
        <v>42</v>
      </c>
      <c r="P257" s="6" t="s">
        <v>110</v>
      </c>
      <c r="Q257" s="8" t="s">
        <v>111</v>
      </c>
      <c r="R257" s="10" t="s">
        <v>390</v>
      </c>
      <c r="S257" s="11"/>
      <c r="T257" s="6"/>
      <c r="U257" s="28" t="str">
        <f>HYPERLINK("https://media.infra-m.ru/1897/1897101/cover/1897101.jpg", "Обложка")</f>
        <v>Обложка</v>
      </c>
      <c r="V257" s="28" t="str">
        <f>HYPERLINK("https://znanium.ru/catalog/product/1897101", "Ознакомиться")</f>
        <v>Ознакомиться</v>
      </c>
      <c r="W257" s="8"/>
      <c r="X257" s="6"/>
      <c r="Y257" s="6"/>
      <c r="Z257" s="6"/>
      <c r="AA257" s="6" t="s">
        <v>244</v>
      </c>
    </row>
    <row r="258" spans="1:27" s="4" customFormat="1" ht="51.95" customHeight="1">
      <c r="A258" s="5">
        <v>0</v>
      </c>
      <c r="B258" s="6" t="s">
        <v>1670</v>
      </c>
      <c r="C258" s="13">
        <v>970</v>
      </c>
      <c r="D258" s="8" t="s">
        <v>1671</v>
      </c>
      <c r="E258" s="8" t="s">
        <v>1672</v>
      </c>
      <c r="F258" s="8" t="s">
        <v>724</v>
      </c>
      <c r="G258" s="6" t="s">
        <v>66</v>
      </c>
      <c r="H258" s="6" t="s">
        <v>67</v>
      </c>
      <c r="I258" s="8" t="s">
        <v>68</v>
      </c>
      <c r="J258" s="9">
        <v>1</v>
      </c>
      <c r="K258" s="9">
        <v>204</v>
      </c>
      <c r="L258" s="9">
        <v>2024</v>
      </c>
      <c r="M258" s="8" t="s">
        <v>1673</v>
      </c>
      <c r="N258" s="8" t="s">
        <v>41</v>
      </c>
      <c r="O258" s="8" t="s">
        <v>42</v>
      </c>
      <c r="P258" s="6" t="s">
        <v>70</v>
      </c>
      <c r="Q258" s="8" t="s">
        <v>71</v>
      </c>
      <c r="R258" s="10" t="s">
        <v>1674</v>
      </c>
      <c r="S258" s="11" t="s">
        <v>1675</v>
      </c>
      <c r="T258" s="6" t="s">
        <v>59</v>
      </c>
      <c r="U258" s="28" t="str">
        <f>HYPERLINK("https://media.infra-m.ru/2122/2122965/cover/2122965.jpg", "Обложка")</f>
        <v>Обложка</v>
      </c>
      <c r="V258" s="28" t="str">
        <f>HYPERLINK("https://znanium.ru/catalog/product/2122965", "Ознакомиться")</f>
        <v>Ознакомиться</v>
      </c>
      <c r="W258" s="8"/>
      <c r="X258" s="6"/>
      <c r="Y258" s="6" t="s">
        <v>30</v>
      </c>
      <c r="Z258" s="6"/>
      <c r="AA258" s="6" t="s">
        <v>75</v>
      </c>
    </row>
    <row r="259" spans="1:27" s="4" customFormat="1" ht="42" customHeight="1">
      <c r="A259" s="5">
        <v>0</v>
      </c>
      <c r="B259" s="6" t="s">
        <v>1676</v>
      </c>
      <c r="C259" s="7">
        <v>1990</v>
      </c>
      <c r="D259" s="8" t="s">
        <v>1677</v>
      </c>
      <c r="E259" s="8" t="s">
        <v>1678</v>
      </c>
      <c r="F259" s="8" t="s">
        <v>1679</v>
      </c>
      <c r="G259" s="6" t="s">
        <v>37</v>
      </c>
      <c r="H259" s="6" t="s">
        <v>67</v>
      </c>
      <c r="I259" s="8" t="s">
        <v>106</v>
      </c>
      <c r="J259" s="9">
        <v>1</v>
      </c>
      <c r="K259" s="9">
        <v>426</v>
      </c>
      <c r="L259" s="9">
        <v>2023</v>
      </c>
      <c r="M259" s="8" t="s">
        <v>1680</v>
      </c>
      <c r="N259" s="8" t="s">
        <v>108</v>
      </c>
      <c r="O259" s="8" t="s">
        <v>109</v>
      </c>
      <c r="P259" s="6" t="s">
        <v>110</v>
      </c>
      <c r="Q259" s="8" t="s">
        <v>111</v>
      </c>
      <c r="R259" s="10" t="s">
        <v>1681</v>
      </c>
      <c r="S259" s="11"/>
      <c r="T259" s="6"/>
      <c r="U259" s="28" t="str">
        <f>HYPERLINK("https://media.infra-m.ru/1844/1844169/cover/1844169.jpg", "Обложка")</f>
        <v>Обложка</v>
      </c>
      <c r="V259" s="28" t="str">
        <f>HYPERLINK("https://znanium.ru/catalog/product/1844169", "Ознакомиться")</f>
        <v>Ознакомиться</v>
      </c>
      <c r="W259" s="8" t="s">
        <v>1682</v>
      </c>
      <c r="X259" s="6"/>
      <c r="Y259" s="6"/>
      <c r="Z259" s="6"/>
      <c r="AA259" s="6" t="s">
        <v>115</v>
      </c>
    </row>
    <row r="260" spans="1:27" s="15" customFormat="1" ht="21.95" customHeight="1"/>
    <row r="261" spans="1:27" ht="15.95" customHeight="1">
      <c r="A261" s="25" t="s">
        <v>23</v>
      </c>
      <c r="B261" s="25"/>
    </row>
    <row r="262" spans="1:27" s="16" customFormat="1" ht="12.95" customHeight="1"/>
    <row r="263" spans="1:27" s="16" customFormat="1" ht="12.95" customHeight="1">
      <c r="A263" s="26" t="s">
        <v>1683</v>
      </c>
      <c r="B263" s="26"/>
      <c r="C263" s="26" t="s">
        <v>1684</v>
      </c>
      <c r="D263" s="26"/>
      <c r="E263" s="26"/>
    </row>
    <row r="264" spans="1:27" s="16" customFormat="1" ht="12.95" customHeight="1">
      <c r="A264" s="26" t="s">
        <v>1685</v>
      </c>
      <c r="B264" s="26"/>
      <c r="C264" s="26" t="s">
        <v>1686</v>
      </c>
      <c r="D264" s="26"/>
      <c r="E264" s="26"/>
    </row>
    <row r="265" spans="1:27" s="16" customFormat="1" ht="12.95" customHeight="1">
      <c r="A265" s="26" t="s">
        <v>1687</v>
      </c>
      <c r="B265" s="26"/>
      <c r="C265" s="26" t="s">
        <v>1688</v>
      </c>
      <c r="D265" s="26"/>
      <c r="E265" s="26"/>
    </row>
    <row r="266" spans="1:27" s="16" customFormat="1" ht="12.95" customHeight="1">
      <c r="A266" s="26" t="s">
        <v>1689</v>
      </c>
      <c r="B266" s="26"/>
      <c r="C266" s="26" t="s">
        <v>1690</v>
      </c>
      <c r="D266" s="26"/>
      <c r="E266" s="26"/>
    </row>
    <row r="267" spans="1:27" s="16" customFormat="1" ht="12.95" customHeight="1">
      <c r="A267" s="26" t="s">
        <v>1691</v>
      </c>
      <c r="B267" s="26"/>
      <c r="C267" s="26" t="s">
        <v>1692</v>
      </c>
      <c r="D267" s="26"/>
      <c r="E267" s="26"/>
    </row>
    <row r="268" spans="1:27" s="16" customFormat="1" ht="12.95" customHeight="1">
      <c r="A268" s="26" t="s">
        <v>1693</v>
      </c>
      <c r="B268" s="26"/>
      <c r="C268" s="26" t="s">
        <v>1694</v>
      </c>
      <c r="D268" s="26"/>
      <c r="E268" s="26"/>
    </row>
    <row r="269" spans="1:27" s="16" customFormat="1" ht="12.95" customHeight="1">
      <c r="A269" s="26" t="s">
        <v>1695</v>
      </c>
      <c r="B269" s="26"/>
      <c r="C269" s="26" t="s">
        <v>1696</v>
      </c>
      <c r="D269" s="26"/>
      <c r="E269" s="26"/>
    </row>
    <row r="270" spans="1:27" s="16" customFormat="1" ht="12.95" customHeight="1">
      <c r="A270" s="26" t="s">
        <v>1697</v>
      </c>
      <c r="B270" s="26"/>
      <c r="C270" s="26" t="s">
        <v>1694</v>
      </c>
      <c r="D270" s="26"/>
      <c r="E270" s="26"/>
    </row>
    <row r="271" spans="1:27" s="16" customFormat="1" ht="12.95" customHeight="1">
      <c r="A271" s="26" t="s">
        <v>1698</v>
      </c>
      <c r="B271" s="26"/>
      <c r="C271" s="26" t="s">
        <v>1696</v>
      </c>
      <c r="D271" s="26"/>
      <c r="E271" s="26"/>
    </row>
    <row r="272" spans="1:27" s="16" customFormat="1" ht="12.95" customHeight="1">
      <c r="A272" s="26" t="s">
        <v>1699</v>
      </c>
      <c r="B272" s="26"/>
      <c r="C272" s="26" t="s">
        <v>1700</v>
      </c>
      <c r="D272" s="26"/>
      <c r="E272" s="26"/>
    </row>
    <row r="273" spans="1:5" s="16" customFormat="1" ht="12.95" customHeight="1">
      <c r="A273" s="26" t="s">
        <v>1701</v>
      </c>
      <c r="B273" s="26"/>
      <c r="C273" s="26" t="s">
        <v>1702</v>
      </c>
      <c r="D273" s="26"/>
      <c r="E273" s="26"/>
    </row>
    <row r="274" spans="1:5" s="16" customFormat="1" ht="12.95" customHeight="1">
      <c r="A274" s="26" t="s">
        <v>1703</v>
      </c>
      <c r="B274" s="26"/>
      <c r="C274" s="26" t="s">
        <v>1704</v>
      </c>
      <c r="D274" s="26"/>
      <c r="E274" s="26"/>
    </row>
    <row r="275" spans="1:5" s="16" customFormat="1" ht="12.95" customHeight="1">
      <c r="A275" s="26" t="s">
        <v>1705</v>
      </c>
      <c r="B275" s="26"/>
      <c r="C275" s="26" t="s">
        <v>1704</v>
      </c>
      <c r="D275" s="26"/>
      <c r="E275" s="26"/>
    </row>
    <row r="276" spans="1:5" s="16" customFormat="1" ht="12.95" customHeight="1">
      <c r="A276" s="26" t="s">
        <v>1706</v>
      </c>
      <c r="B276" s="26"/>
      <c r="C276" s="26" t="s">
        <v>1707</v>
      </c>
      <c r="D276" s="26"/>
      <c r="E276" s="26"/>
    </row>
    <row r="277" spans="1:5" s="16" customFormat="1" ht="12.95" customHeight="1">
      <c r="A277" s="26" t="s">
        <v>491</v>
      </c>
      <c r="B277" s="26"/>
      <c r="C277" s="26" t="s">
        <v>1708</v>
      </c>
      <c r="D277" s="26"/>
      <c r="E277" s="26"/>
    </row>
    <row r="278" spans="1:5" s="16" customFormat="1" ht="12.95" customHeight="1">
      <c r="A278" s="26" t="s">
        <v>242</v>
      </c>
      <c r="B278" s="26"/>
      <c r="C278" s="26" t="s">
        <v>1708</v>
      </c>
      <c r="D278" s="26"/>
      <c r="E278" s="26"/>
    </row>
    <row r="279" spans="1:5" s="16" customFormat="1" ht="12.95" customHeight="1">
      <c r="A279" s="26" t="s">
        <v>1709</v>
      </c>
      <c r="B279" s="26"/>
      <c r="C279" s="26" t="s">
        <v>1710</v>
      </c>
      <c r="D279" s="26"/>
      <c r="E279" s="26"/>
    </row>
    <row r="280" spans="1:5" s="16" customFormat="1" ht="12.95" customHeight="1">
      <c r="A280" s="26" t="s">
        <v>1711</v>
      </c>
      <c r="B280" s="26"/>
      <c r="C280" s="26" t="s">
        <v>1712</v>
      </c>
      <c r="D280" s="26"/>
      <c r="E280" s="26"/>
    </row>
    <row r="281" spans="1:5" s="16" customFormat="1" ht="12.95" customHeight="1">
      <c r="A281" s="26" t="s">
        <v>1713</v>
      </c>
      <c r="B281" s="26"/>
      <c r="C281" s="26" t="s">
        <v>1714</v>
      </c>
      <c r="D281" s="26"/>
      <c r="E281" s="26"/>
    </row>
    <row r="282" spans="1:5" s="16" customFormat="1" ht="12.95" customHeight="1">
      <c r="A282" s="26" t="s">
        <v>1715</v>
      </c>
      <c r="B282" s="26"/>
      <c r="C282" s="26" t="s">
        <v>1708</v>
      </c>
      <c r="D282" s="26"/>
      <c r="E282" s="26"/>
    </row>
    <row r="283" spans="1:5" s="16" customFormat="1" ht="12.95" customHeight="1">
      <c r="A283" s="26" t="s">
        <v>1716</v>
      </c>
      <c r="B283" s="26"/>
      <c r="C283" s="26" t="s">
        <v>1710</v>
      </c>
      <c r="D283" s="26"/>
      <c r="E283" s="26"/>
    </row>
    <row r="284" spans="1:5" s="16" customFormat="1" ht="12.95" customHeight="1">
      <c r="A284" s="26" t="s">
        <v>1717</v>
      </c>
      <c r="B284" s="26"/>
      <c r="C284" s="26" t="s">
        <v>1712</v>
      </c>
      <c r="D284" s="26"/>
      <c r="E284" s="26"/>
    </row>
    <row r="285" spans="1:5" s="16" customFormat="1" ht="12.95" customHeight="1">
      <c r="A285" s="26" t="s">
        <v>1531</v>
      </c>
      <c r="B285" s="26"/>
      <c r="C285" s="26" t="s">
        <v>1714</v>
      </c>
      <c r="D285" s="26"/>
      <c r="E285" s="26"/>
    </row>
    <row r="286" spans="1:5" s="16" customFormat="1" ht="12.95" customHeight="1">
      <c r="A286" s="26" t="s">
        <v>1718</v>
      </c>
      <c r="B286" s="26"/>
      <c r="C286" s="26" t="s">
        <v>1708</v>
      </c>
      <c r="D286" s="26"/>
      <c r="E286" s="26"/>
    </row>
    <row r="287" spans="1:5" s="16" customFormat="1" ht="12.95" customHeight="1">
      <c r="A287" s="26" t="s">
        <v>1719</v>
      </c>
      <c r="B287" s="26"/>
      <c r="C287" s="26" t="s">
        <v>1708</v>
      </c>
      <c r="D287" s="26"/>
      <c r="E287" s="26"/>
    </row>
    <row r="288" spans="1:5" s="16" customFormat="1" ht="12.95" customHeight="1">
      <c r="A288" s="26" t="s">
        <v>1720</v>
      </c>
      <c r="B288" s="26"/>
      <c r="C288" s="26" t="s">
        <v>1708</v>
      </c>
      <c r="D288" s="26"/>
      <c r="E288" s="26"/>
    </row>
    <row r="289" spans="1:5" s="16" customFormat="1" ht="12.95" customHeight="1">
      <c r="A289" s="26" t="s">
        <v>1721</v>
      </c>
      <c r="B289" s="26"/>
      <c r="C289" s="26" t="s">
        <v>1710</v>
      </c>
      <c r="D289" s="26"/>
      <c r="E289" s="26"/>
    </row>
    <row r="290" spans="1:5" s="16" customFormat="1" ht="12.95" customHeight="1">
      <c r="A290" s="26" t="s">
        <v>1722</v>
      </c>
      <c r="B290" s="26"/>
      <c r="C290" s="26" t="s">
        <v>1712</v>
      </c>
      <c r="D290" s="26"/>
      <c r="E290" s="26"/>
    </row>
    <row r="291" spans="1:5" s="16" customFormat="1" ht="12.95" customHeight="1">
      <c r="A291" s="26" t="s">
        <v>1723</v>
      </c>
      <c r="B291" s="26"/>
      <c r="C291" s="26" t="s">
        <v>1714</v>
      </c>
      <c r="D291" s="26"/>
      <c r="E291" s="26"/>
    </row>
    <row r="292" spans="1:5" s="16" customFormat="1" ht="12.95" customHeight="1">
      <c r="A292" s="26" t="s">
        <v>1724</v>
      </c>
      <c r="B292" s="26"/>
      <c r="C292" s="26" t="s">
        <v>1725</v>
      </c>
      <c r="D292" s="26"/>
      <c r="E292" s="26"/>
    </row>
    <row r="293" spans="1:5" s="16" customFormat="1" ht="12.95" customHeight="1">
      <c r="A293" s="26" t="s">
        <v>1724</v>
      </c>
      <c r="B293" s="26"/>
      <c r="C293" s="26" t="s">
        <v>1725</v>
      </c>
      <c r="D293" s="26"/>
      <c r="E293" s="26"/>
    </row>
    <row r="294" spans="1:5" s="16" customFormat="1" ht="12.95" customHeight="1">
      <c r="A294" s="26" t="s">
        <v>1726</v>
      </c>
      <c r="B294" s="26"/>
      <c r="C294" s="26" t="s">
        <v>1727</v>
      </c>
      <c r="D294" s="26"/>
      <c r="E294" s="26"/>
    </row>
    <row r="295" spans="1:5" s="16" customFormat="1" ht="12.95" customHeight="1">
      <c r="A295" s="26" t="s">
        <v>1728</v>
      </c>
      <c r="B295" s="26"/>
      <c r="C295" s="26" t="s">
        <v>1729</v>
      </c>
      <c r="D295" s="26"/>
      <c r="E295" s="26"/>
    </row>
    <row r="296" spans="1:5" s="16" customFormat="1" ht="12.95" customHeight="1">
      <c r="A296" s="26" t="s">
        <v>1730</v>
      </c>
      <c r="B296" s="26"/>
      <c r="C296" s="26" t="s">
        <v>1731</v>
      </c>
      <c r="D296" s="26"/>
      <c r="E296" s="26"/>
    </row>
    <row r="297" spans="1:5" s="16" customFormat="1" ht="12.95" customHeight="1">
      <c r="A297" s="26" t="s">
        <v>1732</v>
      </c>
      <c r="B297" s="26"/>
      <c r="C297" s="26" t="s">
        <v>1733</v>
      </c>
      <c r="D297" s="26"/>
      <c r="E297" s="26"/>
    </row>
    <row r="298" spans="1:5" s="16" customFormat="1" ht="12.95" customHeight="1">
      <c r="A298" s="26" t="s">
        <v>1734</v>
      </c>
      <c r="B298" s="26"/>
      <c r="C298" s="26" t="s">
        <v>1735</v>
      </c>
      <c r="D298" s="26"/>
      <c r="E298" s="26"/>
    </row>
    <row r="299" spans="1:5" s="16" customFormat="1" ht="12.95" customHeight="1">
      <c r="A299" s="26" t="s">
        <v>1736</v>
      </c>
      <c r="B299" s="26"/>
      <c r="C299" s="26" t="s">
        <v>1737</v>
      </c>
      <c r="D299" s="26"/>
      <c r="E299" s="26"/>
    </row>
    <row r="300" spans="1:5" s="16" customFormat="1" ht="12.95" customHeight="1">
      <c r="A300" s="26" t="s">
        <v>1738</v>
      </c>
      <c r="B300" s="26"/>
      <c r="C300" s="26" t="s">
        <v>1739</v>
      </c>
      <c r="D300" s="26"/>
      <c r="E300" s="26"/>
    </row>
    <row r="301" spans="1:5" s="16" customFormat="1" ht="12.95" customHeight="1">
      <c r="A301" s="26" t="s">
        <v>1740</v>
      </c>
      <c r="B301" s="26"/>
      <c r="C301" s="26" t="s">
        <v>1741</v>
      </c>
      <c r="D301" s="26"/>
      <c r="E301" s="26"/>
    </row>
    <row r="302" spans="1:5" s="16" customFormat="1" ht="12.95" customHeight="1">
      <c r="A302" s="26" t="s">
        <v>1742</v>
      </c>
      <c r="B302" s="26"/>
      <c r="C302" s="26" t="s">
        <v>1743</v>
      </c>
      <c r="D302" s="26"/>
      <c r="E302" s="26"/>
    </row>
    <row r="303" spans="1:5" s="16" customFormat="1" ht="12.95" customHeight="1">
      <c r="A303" s="26" t="s">
        <v>1744</v>
      </c>
      <c r="B303" s="26"/>
      <c r="C303" s="26" t="s">
        <v>1745</v>
      </c>
      <c r="D303" s="26"/>
      <c r="E303" s="26"/>
    </row>
    <row r="304" spans="1:5" s="16" customFormat="1" ht="12.95" customHeight="1">
      <c r="A304" s="26" t="s">
        <v>416</v>
      </c>
      <c r="B304" s="26"/>
      <c r="C304" s="26" t="s">
        <v>1746</v>
      </c>
      <c r="D304" s="26"/>
      <c r="E304" s="26"/>
    </row>
    <row r="305" spans="1:5" s="16" customFormat="1" ht="12.95" customHeight="1">
      <c r="A305" s="26" t="s">
        <v>1747</v>
      </c>
      <c r="B305" s="26"/>
      <c r="C305" s="26" t="s">
        <v>1748</v>
      </c>
      <c r="D305" s="26"/>
      <c r="E305" s="26"/>
    </row>
    <row r="306" spans="1:5" s="16" customFormat="1" ht="12.95" customHeight="1">
      <c r="A306" s="26" t="s">
        <v>1749</v>
      </c>
      <c r="B306" s="26"/>
      <c r="C306" s="26" t="s">
        <v>1750</v>
      </c>
      <c r="D306" s="26"/>
      <c r="E306" s="26"/>
    </row>
    <row r="307" spans="1:5" s="16" customFormat="1" ht="12.95" customHeight="1">
      <c r="A307" s="26" t="s">
        <v>263</v>
      </c>
      <c r="B307" s="26"/>
      <c r="C307" s="26" t="s">
        <v>1751</v>
      </c>
      <c r="D307" s="26"/>
      <c r="E307" s="26"/>
    </row>
    <row r="308" spans="1:5" s="16" customFormat="1" ht="12.95" customHeight="1">
      <c r="A308" s="26" t="s">
        <v>81</v>
      </c>
      <c r="B308" s="26"/>
      <c r="C308" s="26" t="s">
        <v>1752</v>
      </c>
      <c r="D308" s="26"/>
      <c r="E308" s="26"/>
    </row>
    <row r="309" spans="1:5" s="16" customFormat="1" ht="12.95" customHeight="1">
      <c r="A309" s="26" t="s">
        <v>1753</v>
      </c>
      <c r="B309" s="26"/>
      <c r="C309" s="26" t="s">
        <v>1754</v>
      </c>
      <c r="D309" s="26"/>
      <c r="E309" s="26"/>
    </row>
    <row r="310" spans="1:5" s="16" customFormat="1" ht="12.95" customHeight="1">
      <c r="A310" s="26" t="s">
        <v>1755</v>
      </c>
      <c r="B310" s="26"/>
      <c r="C310" s="26" t="s">
        <v>1756</v>
      </c>
      <c r="D310" s="26"/>
      <c r="E310" s="26"/>
    </row>
    <row r="311" spans="1:5" s="16" customFormat="1" ht="12.95" customHeight="1">
      <c r="A311" s="26" t="s">
        <v>89</v>
      </c>
      <c r="B311" s="26"/>
      <c r="C311" s="26" t="s">
        <v>1757</v>
      </c>
      <c r="D311" s="26"/>
      <c r="E311" s="26"/>
    </row>
    <row r="312" spans="1:5" s="16" customFormat="1" ht="12.95" customHeight="1">
      <c r="A312" s="26" t="s">
        <v>1501</v>
      </c>
      <c r="B312" s="26"/>
      <c r="C312" s="26" t="s">
        <v>1758</v>
      </c>
      <c r="D312" s="26"/>
      <c r="E312" s="26"/>
    </row>
    <row r="313" spans="1:5" s="16" customFormat="1" ht="12.95" customHeight="1">
      <c r="A313" s="26" t="s">
        <v>330</v>
      </c>
      <c r="B313" s="26"/>
      <c r="C313" s="26" t="s">
        <v>42</v>
      </c>
      <c r="D313" s="26"/>
      <c r="E313" s="26"/>
    </row>
    <row r="314" spans="1:5" s="16" customFormat="1" ht="12.95" customHeight="1">
      <c r="A314" s="26" t="s">
        <v>98</v>
      </c>
      <c r="B314" s="26"/>
      <c r="C314" s="26" t="s">
        <v>42</v>
      </c>
      <c r="D314" s="26"/>
      <c r="E314" s="26"/>
    </row>
    <row r="315" spans="1:5" s="16" customFormat="1" ht="12.95" customHeight="1">
      <c r="A315" s="26" t="s">
        <v>1759</v>
      </c>
      <c r="B315" s="26"/>
      <c r="C315" s="26" t="s">
        <v>1760</v>
      </c>
      <c r="D315" s="26"/>
      <c r="E315" s="26"/>
    </row>
    <row r="316" spans="1:5" s="16" customFormat="1" ht="12.95" customHeight="1">
      <c r="A316" s="26" t="s">
        <v>1761</v>
      </c>
      <c r="B316" s="26"/>
      <c r="C316" s="26" t="s">
        <v>1762</v>
      </c>
      <c r="D316" s="26"/>
      <c r="E316" s="26"/>
    </row>
    <row r="317" spans="1:5" s="16" customFormat="1" ht="12.95" customHeight="1">
      <c r="A317" s="26" t="s">
        <v>442</v>
      </c>
      <c r="B317" s="26"/>
      <c r="C317" s="26" t="s">
        <v>1763</v>
      </c>
      <c r="D317" s="26"/>
      <c r="E317" s="26"/>
    </row>
    <row r="318" spans="1:5" s="16" customFormat="1" ht="12.95" customHeight="1">
      <c r="A318" s="26" t="s">
        <v>1764</v>
      </c>
      <c r="B318" s="26"/>
      <c r="C318" s="26" t="s">
        <v>1765</v>
      </c>
      <c r="D318" s="26"/>
      <c r="E318" s="26"/>
    </row>
    <row r="319" spans="1:5" s="16" customFormat="1" ht="12.95" customHeight="1">
      <c r="A319" s="26" t="s">
        <v>1766</v>
      </c>
      <c r="B319" s="26"/>
      <c r="C319" s="26" t="s">
        <v>1767</v>
      </c>
      <c r="D319" s="26"/>
      <c r="E319" s="26"/>
    </row>
    <row r="320" spans="1:5" s="16" customFormat="1" ht="12.95" customHeight="1">
      <c r="A320" s="26" t="s">
        <v>1768</v>
      </c>
      <c r="B320" s="26"/>
      <c r="C320" s="26" t="s">
        <v>1769</v>
      </c>
      <c r="D320" s="26"/>
      <c r="E320" s="26"/>
    </row>
    <row r="321" spans="1:5" s="16" customFormat="1" ht="12.95" customHeight="1">
      <c r="A321" s="26" t="s">
        <v>1770</v>
      </c>
      <c r="B321" s="26"/>
      <c r="C321" s="26" t="s">
        <v>1771</v>
      </c>
      <c r="D321" s="26"/>
      <c r="E321" s="26"/>
    </row>
    <row r="322" spans="1:5" s="16" customFormat="1" ht="12.95" customHeight="1">
      <c r="A322" s="26" t="s">
        <v>1772</v>
      </c>
      <c r="B322" s="26"/>
      <c r="C322" s="26" t="s">
        <v>1773</v>
      </c>
      <c r="D322" s="26"/>
      <c r="E322" s="26"/>
    </row>
    <row r="323" spans="1:5" s="16" customFormat="1" ht="12.95" customHeight="1">
      <c r="A323" s="26" t="s">
        <v>1774</v>
      </c>
      <c r="B323" s="26"/>
      <c r="C323" s="26" t="s">
        <v>1775</v>
      </c>
      <c r="D323" s="26"/>
      <c r="E323" s="26"/>
    </row>
    <row r="324" spans="1:5" s="16" customFormat="1" ht="12.95" customHeight="1">
      <c r="A324" s="26" t="s">
        <v>1776</v>
      </c>
      <c r="B324" s="26"/>
      <c r="C324" s="26" t="s">
        <v>1777</v>
      </c>
      <c r="D324" s="26"/>
      <c r="E324" s="26"/>
    </row>
    <row r="325" spans="1:5" s="16" customFormat="1" ht="12.95" customHeight="1">
      <c r="A325" s="26" t="s">
        <v>1778</v>
      </c>
      <c r="B325" s="26"/>
      <c r="C325" s="26" t="s">
        <v>1779</v>
      </c>
      <c r="D325" s="26"/>
      <c r="E325" s="26"/>
    </row>
    <row r="326" spans="1:5" s="16" customFormat="1" ht="12.95" customHeight="1">
      <c r="A326" s="26" t="s">
        <v>1780</v>
      </c>
      <c r="B326" s="26"/>
      <c r="C326" s="26" t="s">
        <v>1781</v>
      </c>
      <c r="D326" s="26"/>
      <c r="E326" s="26"/>
    </row>
    <row r="327" spans="1:5" s="16" customFormat="1" ht="12.95" customHeight="1">
      <c r="A327" s="26" t="s">
        <v>1782</v>
      </c>
      <c r="B327" s="26"/>
      <c r="C327" s="26" t="s">
        <v>1783</v>
      </c>
      <c r="D327" s="26"/>
      <c r="E327" s="26"/>
    </row>
    <row r="328" spans="1:5" s="16" customFormat="1" ht="12.95" customHeight="1">
      <c r="A328" s="26" t="s">
        <v>1784</v>
      </c>
      <c r="B328" s="26"/>
      <c r="C328" s="26" t="s">
        <v>1785</v>
      </c>
      <c r="D328" s="26"/>
      <c r="E328" s="26"/>
    </row>
    <row r="329" spans="1:5" s="16" customFormat="1" ht="12.95" customHeight="1">
      <c r="A329" s="26" t="s">
        <v>1786</v>
      </c>
      <c r="B329" s="26"/>
      <c r="C329" s="26" t="s">
        <v>1787</v>
      </c>
      <c r="D329" s="26"/>
      <c r="E329" s="26"/>
    </row>
    <row r="330" spans="1:5" s="16" customFormat="1" ht="12.95" customHeight="1">
      <c r="A330" s="26" t="s">
        <v>1788</v>
      </c>
      <c r="B330" s="26"/>
      <c r="C330" s="26" t="s">
        <v>1787</v>
      </c>
      <c r="D330" s="26"/>
      <c r="E330" s="26"/>
    </row>
    <row r="331" spans="1:5" s="16" customFormat="1" ht="12.95" customHeight="1">
      <c r="A331" s="26" t="s">
        <v>1789</v>
      </c>
      <c r="B331" s="26"/>
      <c r="C331" s="26" t="s">
        <v>1790</v>
      </c>
      <c r="D331" s="26"/>
      <c r="E331" s="26"/>
    </row>
    <row r="332" spans="1:5" s="16" customFormat="1" ht="12.95" customHeight="1">
      <c r="A332" s="26" t="s">
        <v>1791</v>
      </c>
      <c r="B332" s="26"/>
      <c r="C332" s="26" t="s">
        <v>1792</v>
      </c>
      <c r="D332" s="26"/>
      <c r="E332" s="26"/>
    </row>
    <row r="333" spans="1:5" s="16" customFormat="1" ht="26.1" customHeight="1">
      <c r="A333" s="26" t="s">
        <v>1793</v>
      </c>
      <c r="B333" s="26"/>
      <c r="C333" s="26" t="s">
        <v>1794</v>
      </c>
      <c r="D333" s="26"/>
      <c r="E333" s="26"/>
    </row>
    <row r="334" spans="1:5" s="16" customFormat="1" ht="12.95" customHeight="1">
      <c r="A334" s="26" t="s">
        <v>1795</v>
      </c>
      <c r="B334" s="26"/>
      <c r="C334" s="26" t="s">
        <v>1796</v>
      </c>
      <c r="D334" s="26"/>
      <c r="E334" s="26"/>
    </row>
    <row r="335" spans="1:5" s="16" customFormat="1" ht="12.95" customHeight="1">
      <c r="A335" s="26" t="s">
        <v>1797</v>
      </c>
      <c r="B335" s="26"/>
      <c r="C335" s="26" t="s">
        <v>1798</v>
      </c>
      <c r="D335" s="26"/>
      <c r="E335" s="26"/>
    </row>
    <row r="336" spans="1:5" s="16" customFormat="1" ht="12.95" customHeight="1">
      <c r="A336" s="26" t="s">
        <v>1799</v>
      </c>
      <c r="B336" s="26"/>
      <c r="C336" s="26" t="s">
        <v>1800</v>
      </c>
      <c r="D336" s="26"/>
      <c r="E336" s="26"/>
    </row>
    <row r="337" spans="1:5" s="16" customFormat="1" ht="12.95" customHeight="1">
      <c r="A337" s="26" t="s">
        <v>1801</v>
      </c>
      <c r="B337" s="26"/>
      <c r="C337" s="26" t="s">
        <v>1802</v>
      </c>
      <c r="D337" s="26"/>
      <c r="E337" s="26"/>
    </row>
    <row r="338" spans="1:5" s="16" customFormat="1" ht="12.95" customHeight="1">
      <c r="A338" s="26" t="s">
        <v>1803</v>
      </c>
      <c r="B338" s="26"/>
      <c r="C338" s="26" t="s">
        <v>1804</v>
      </c>
      <c r="D338" s="26"/>
      <c r="E338" s="26"/>
    </row>
    <row r="339" spans="1:5" s="16" customFormat="1" ht="12.95" customHeight="1">
      <c r="A339" s="26" t="s">
        <v>1042</v>
      </c>
      <c r="B339" s="26"/>
      <c r="C339" s="26" t="s">
        <v>1802</v>
      </c>
      <c r="D339" s="26"/>
      <c r="E339" s="26"/>
    </row>
    <row r="340" spans="1:5" s="16" customFormat="1" ht="12.95" customHeight="1">
      <c r="A340" s="26" t="s">
        <v>1805</v>
      </c>
      <c r="B340" s="26"/>
      <c r="C340" s="26" t="s">
        <v>1804</v>
      </c>
      <c r="D340" s="26"/>
      <c r="E340" s="26"/>
    </row>
    <row r="341" spans="1:5" s="16" customFormat="1" ht="12.95" customHeight="1">
      <c r="A341" s="26" t="s">
        <v>1806</v>
      </c>
      <c r="B341" s="26"/>
      <c r="C341" s="26" t="s">
        <v>1807</v>
      </c>
      <c r="D341" s="26"/>
      <c r="E341" s="26"/>
    </row>
    <row r="342" spans="1:5" s="16" customFormat="1" ht="12.95" customHeight="1">
      <c r="A342" s="26" t="s">
        <v>1808</v>
      </c>
      <c r="B342" s="26"/>
      <c r="C342" s="26" t="s">
        <v>1809</v>
      </c>
      <c r="D342" s="26"/>
      <c r="E342" s="26"/>
    </row>
    <row r="343" spans="1:5" s="16" customFormat="1" ht="12.95" customHeight="1">
      <c r="A343" s="26" t="s">
        <v>1810</v>
      </c>
      <c r="B343" s="26"/>
      <c r="C343" s="26" t="s">
        <v>1811</v>
      </c>
      <c r="D343" s="26"/>
      <c r="E343" s="26"/>
    </row>
    <row r="344" spans="1:5" s="16" customFormat="1" ht="12.95" customHeight="1">
      <c r="A344" s="26" t="s">
        <v>1812</v>
      </c>
      <c r="B344" s="26"/>
      <c r="C344" s="26" t="s">
        <v>1813</v>
      </c>
      <c r="D344" s="26"/>
      <c r="E344" s="26"/>
    </row>
    <row r="345" spans="1:5" s="16" customFormat="1" ht="12.95" customHeight="1">
      <c r="A345" s="26" t="s">
        <v>1814</v>
      </c>
      <c r="B345" s="26"/>
      <c r="C345" s="26" t="s">
        <v>1815</v>
      </c>
      <c r="D345" s="26"/>
      <c r="E345" s="26"/>
    </row>
    <row r="346" spans="1:5" s="16" customFormat="1" ht="12.95" customHeight="1">
      <c r="A346" s="26" t="s">
        <v>1816</v>
      </c>
      <c r="B346" s="26"/>
      <c r="C346" s="26" t="s">
        <v>1817</v>
      </c>
      <c r="D346" s="26"/>
      <c r="E346" s="26"/>
    </row>
    <row r="347" spans="1:5" s="16" customFormat="1" ht="12.95" customHeight="1">
      <c r="A347" s="26" t="s">
        <v>1818</v>
      </c>
      <c r="B347" s="26"/>
      <c r="C347" s="26" t="s">
        <v>1819</v>
      </c>
      <c r="D347" s="26"/>
      <c r="E347" s="26"/>
    </row>
    <row r="348" spans="1:5" s="16" customFormat="1" ht="12.95" customHeight="1">
      <c r="A348" s="26" t="s">
        <v>1820</v>
      </c>
      <c r="B348" s="26"/>
      <c r="C348" s="26" t="s">
        <v>1821</v>
      </c>
      <c r="D348" s="26"/>
      <c r="E348" s="26"/>
    </row>
    <row r="349" spans="1:5" s="16" customFormat="1" ht="12.95" customHeight="1">
      <c r="A349" s="26" t="s">
        <v>1822</v>
      </c>
      <c r="B349" s="26"/>
      <c r="C349" s="26" t="s">
        <v>1823</v>
      </c>
      <c r="D349" s="26"/>
      <c r="E349" s="26"/>
    </row>
    <row r="350" spans="1:5" s="16" customFormat="1" ht="12.95" customHeight="1">
      <c r="A350" s="26" t="s">
        <v>1824</v>
      </c>
      <c r="B350" s="26"/>
      <c r="C350" s="26" t="s">
        <v>1825</v>
      </c>
      <c r="D350" s="26"/>
      <c r="E350" s="26"/>
    </row>
    <row r="351" spans="1:5" s="16" customFormat="1" ht="12.95" customHeight="1">
      <c r="A351" s="26" t="s">
        <v>1826</v>
      </c>
      <c r="B351" s="26"/>
      <c r="C351" s="26" t="s">
        <v>1827</v>
      </c>
      <c r="D351" s="26"/>
      <c r="E351" s="26"/>
    </row>
    <row r="352" spans="1:5" s="16" customFormat="1" ht="12.95" customHeight="1">
      <c r="A352" s="26" t="s">
        <v>1828</v>
      </c>
      <c r="B352" s="26"/>
      <c r="C352" s="26" t="s">
        <v>1829</v>
      </c>
      <c r="D352" s="26"/>
      <c r="E352" s="26"/>
    </row>
    <row r="353" spans="1:5" s="16" customFormat="1" ht="12.95" customHeight="1">
      <c r="A353" s="26" t="s">
        <v>1830</v>
      </c>
      <c r="B353" s="26"/>
      <c r="C353" s="26" t="s">
        <v>1831</v>
      </c>
      <c r="D353" s="26"/>
      <c r="E353" s="26"/>
    </row>
    <row r="354" spans="1:5" s="16" customFormat="1" ht="12.95" customHeight="1">
      <c r="A354" s="26" t="s">
        <v>1832</v>
      </c>
      <c r="B354" s="26"/>
      <c r="C354" s="26" t="s">
        <v>1833</v>
      </c>
      <c r="D354" s="26"/>
      <c r="E354" s="26"/>
    </row>
    <row r="355" spans="1:5" s="16" customFormat="1" ht="12.95" customHeight="1">
      <c r="A355" s="26" t="s">
        <v>1834</v>
      </c>
      <c r="B355" s="26"/>
      <c r="C355" s="26" t="s">
        <v>1835</v>
      </c>
      <c r="D355" s="26"/>
      <c r="E355" s="26"/>
    </row>
    <row r="356" spans="1:5" s="16" customFormat="1" ht="12.95" customHeight="1">
      <c r="A356" s="26" t="s">
        <v>1836</v>
      </c>
      <c r="B356" s="26"/>
      <c r="C356" s="26" t="s">
        <v>1837</v>
      </c>
      <c r="D356" s="26"/>
      <c r="E356" s="26"/>
    </row>
    <row r="357" spans="1:5" s="16" customFormat="1" ht="12.95" customHeight="1">
      <c r="A357" s="26" t="s">
        <v>1838</v>
      </c>
      <c r="B357" s="26"/>
      <c r="C357" s="26" t="s">
        <v>1839</v>
      </c>
      <c r="D357" s="26"/>
      <c r="E357" s="26"/>
    </row>
    <row r="358" spans="1:5" s="16" customFormat="1" ht="12.95" customHeight="1">
      <c r="A358" s="26" t="s">
        <v>1840</v>
      </c>
      <c r="B358" s="26"/>
      <c r="C358" s="26" t="s">
        <v>1841</v>
      </c>
      <c r="D358" s="26"/>
      <c r="E358" s="26"/>
    </row>
    <row r="359" spans="1:5" s="16" customFormat="1" ht="12.95" customHeight="1">
      <c r="A359" s="26" t="s">
        <v>1842</v>
      </c>
      <c r="B359" s="26"/>
      <c r="C359" s="26" t="s">
        <v>1843</v>
      </c>
      <c r="D359" s="26"/>
      <c r="E359" s="26"/>
    </row>
    <row r="360" spans="1:5" s="16" customFormat="1" ht="12.95" customHeight="1">
      <c r="A360" s="26" t="s">
        <v>1844</v>
      </c>
      <c r="B360" s="26"/>
      <c r="C360" s="26" t="s">
        <v>1845</v>
      </c>
      <c r="D360" s="26"/>
      <c r="E360" s="26"/>
    </row>
    <row r="361" spans="1:5" s="16" customFormat="1" ht="12.95" customHeight="1">
      <c r="A361" s="26" t="s">
        <v>1846</v>
      </c>
      <c r="B361" s="26"/>
      <c r="C361" s="26" t="s">
        <v>1847</v>
      </c>
      <c r="D361" s="26"/>
      <c r="E361" s="26"/>
    </row>
    <row r="362" spans="1:5" s="16" customFormat="1" ht="12.95" customHeight="1">
      <c r="A362" s="26" t="s">
        <v>1848</v>
      </c>
      <c r="B362" s="26"/>
      <c r="C362" s="26" t="s">
        <v>1849</v>
      </c>
      <c r="D362" s="26"/>
      <c r="E362" s="26"/>
    </row>
    <row r="363" spans="1:5" s="16" customFormat="1" ht="12.95" customHeight="1">
      <c r="A363" s="26" t="s">
        <v>1850</v>
      </c>
      <c r="B363" s="26"/>
      <c r="C363" s="26" t="s">
        <v>1851</v>
      </c>
      <c r="D363" s="26"/>
      <c r="E363" s="26"/>
    </row>
    <row r="364" spans="1:5" s="16" customFormat="1" ht="12.95" customHeight="1">
      <c r="A364" s="26" t="s">
        <v>1852</v>
      </c>
      <c r="B364" s="26"/>
      <c r="C364" s="26" t="s">
        <v>1853</v>
      </c>
      <c r="D364" s="26"/>
      <c r="E364" s="26"/>
    </row>
    <row r="365" spans="1:5" s="16" customFormat="1" ht="12.95" customHeight="1">
      <c r="A365" s="26" t="s">
        <v>1854</v>
      </c>
      <c r="B365" s="26"/>
      <c r="C365" s="26" t="s">
        <v>1855</v>
      </c>
      <c r="D365" s="26"/>
      <c r="E365" s="26"/>
    </row>
    <row r="366" spans="1:5" s="16" customFormat="1" ht="12.95" customHeight="1">
      <c r="A366" s="26" t="s">
        <v>277</v>
      </c>
      <c r="B366" s="26"/>
      <c r="C366" s="26" t="s">
        <v>1856</v>
      </c>
      <c r="D366" s="26"/>
      <c r="E366" s="26"/>
    </row>
    <row r="367" spans="1:5" s="16" customFormat="1" ht="12.95" customHeight="1">
      <c r="A367" s="26" t="s">
        <v>1857</v>
      </c>
      <c r="B367" s="26"/>
      <c r="C367" s="26" t="s">
        <v>1855</v>
      </c>
      <c r="D367" s="26"/>
      <c r="E367" s="26"/>
    </row>
    <row r="368" spans="1:5" s="16" customFormat="1" ht="12.95" customHeight="1">
      <c r="A368" s="26" t="s">
        <v>1858</v>
      </c>
      <c r="B368" s="26"/>
      <c r="C368" s="26" t="s">
        <v>1856</v>
      </c>
      <c r="D368" s="26"/>
      <c r="E368" s="26"/>
    </row>
    <row r="369" spans="1:5" s="16" customFormat="1" ht="12.95" customHeight="1">
      <c r="A369" s="26" t="s">
        <v>1859</v>
      </c>
      <c r="B369" s="26"/>
      <c r="C369" s="26" t="s">
        <v>1855</v>
      </c>
      <c r="D369" s="26"/>
      <c r="E369" s="26"/>
    </row>
    <row r="370" spans="1:5" s="16" customFormat="1" ht="12.95" customHeight="1">
      <c r="A370" s="26" t="s">
        <v>1860</v>
      </c>
      <c r="B370" s="26"/>
      <c r="C370" s="26" t="s">
        <v>1855</v>
      </c>
      <c r="D370" s="26"/>
      <c r="E370" s="26"/>
    </row>
    <row r="371" spans="1:5" s="16" customFormat="1" ht="12.95" customHeight="1">
      <c r="A371" s="26" t="s">
        <v>1861</v>
      </c>
      <c r="B371" s="26"/>
      <c r="C371" s="26" t="s">
        <v>1862</v>
      </c>
      <c r="D371" s="26"/>
      <c r="E371" s="26"/>
    </row>
    <row r="372" spans="1:5" s="16" customFormat="1" ht="12.95" customHeight="1">
      <c r="A372" s="26" t="s">
        <v>1863</v>
      </c>
      <c r="B372" s="26"/>
      <c r="C372" s="26" t="s">
        <v>1864</v>
      </c>
      <c r="D372" s="26"/>
      <c r="E372" s="26"/>
    </row>
    <row r="373" spans="1:5" s="16" customFormat="1" ht="12.95" customHeight="1">
      <c r="A373" s="26" t="s">
        <v>1865</v>
      </c>
      <c r="B373" s="26"/>
      <c r="C373" s="26" t="s">
        <v>1866</v>
      </c>
      <c r="D373" s="26"/>
      <c r="E373" s="26"/>
    </row>
    <row r="374" spans="1:5" s="16" customFormat="1" ht="12.95" customHeight="1">
      <c r="A374" s="26" t="s">
        <v>1867</v>
      </c>
      <c r="B374" s="26"/>
      <c r="C374" s="26" t="s">
        <v>1868</v>
      </c>
      <c r="D374" s="26"/>
      <c r="E374" s="26"/>
    </row>
    <row r="375" spans="1:5" s="16" customFormat="1" ht="12.95" customHeight="1">
      <c r="A375" s="26" t="s">
        <v>1869</v>
      </c>
      <c r="B375" s="26"/>
      <c r="C375" s="26" t="s">
        <v>1870</v>
      </c>
      <c r="D375" s="26"/>
      <c r="E375" s="26"/>
    </row>
    <row r="376" spans="1:5" s="16" customFormat="1" ht="12.95" customHeight="1">
      <c r="A376" s="26" t="s">
        <v>1871</v>
      </c>
      <c r="B376" s="26"/>
      <c r="C376" s="26" t="s">
        <v>1872</v>
      </c>
      <c r="D376" s="26"/>
      <c r="E376" s="26"/>
    </row>
    <row r="377" spans="1:5" s="16" customFormat="1" ht="12.95" customHeight="1">
      <c r="A377" s="26" t="s">
        <v>1873</v>
      </c>
      <c r="B377" s="26"/>
      <c r="C377" s="26" t="s">
        <v>1874</v>
      </c>
      <c r="D377" s="26"/>
      <c r="E377" s="26"/>
    </row>
    <row r="378" spans="1:5" s="16" customFormat="1" ht="12.95" customHeight="1">
      <c r="A378" s="26" t="s">
        <v>1875</v>
      </c>
      <c r="B378" s="26"/>
      <c r="C378" s="26" t="s">
        <v>1876</v>
      </c>
      <c r="D378" s="26"/>
      <c r="E378" s="26"/>
    </row>
    <row r="379" spans="1:5" s="16" customFormat="1" ht="12.95" customHeight="1">
      <c r="A379" s="26" t="s">
        <v>1877</v>
      </c>
      <c r="B379" s="26"/>
      <c r="C379" s="26" t="s">
        <v>1878</v>
      </c>
      <c r="D379" s="26"/>
      <c r="E379" s="26"/>
    </row>
    <row r="380" spans="1:5" s="16" customFormat="1" ht="12.95" customHeight="1">
      <c r="A380" s="26" t="s">
        <v>1879</v>
      </c>
      <c r="B380" s="26"/>
      <c r="C380" s="26" t="s">
        <v>1874</v>
      </c>
      <c r="D380" s="26"/>
      <c r="E380" s="26"/>
    </row>
    <row r="381" spans="1:5" s="16" customFormat="1" ht="12.95" customHeight="1">
      <c r="A381" s="26" t="s">
        <v>1880</v>
      </c>
      <c r="B381" s="26"/>
      <c r="C381" s="26" t="s">
        <v>1876</v>
      </c>
      <c r="D381" s="26"/>
      <c r="E381" s="26"/>
    </row>
    <row r="382" spans="1:5" s="16" customFormat="1" ht="12.95" customHeight="1">
      <c r="A382" s="26" t="s">
        <v>1881</v>
      </c>
      <c r="B382" s="26"/>
      <c r="C382" s="26" t="s">
        <v>1878</v>
      </c>
      <c r="D382" s="26"/>
      <c r="E382" s="26"/>
    </row>
    <row r="383" spans="1:5" s="16" customFormat="1" ht="12.95" customHeight="1">
      <c r="A383" s="26" t="s">
        <v>1882</v>
      </c>
      <c r="B383" s="26"/>
      <c r="C383" s="26" t="s">
        <v>1872</v>
      </c>
      <c r="D383" s="26"/>
      <c r="E383" s="26"/>
    </row>
    <row r="384" spans="1:5" s="16" customFormat="1" ht="12.95" customHeight="1">
      <c r="A384" s="26" t="s">
        <v>1883</v>
      </c>
      <c r="B384" s="26"/>
      <c r="C384" s="26" t="s">
        <v>1884</v>
      </c>
      <c r="D384" s="26"/>
      <c r="E384" s="26"/>
    </row>
    <row r="385" spans="1:5" s="16" customFormat="1" ht="12.95" customHeight="1">
      <c r="A385" s="26" t="s">
        <v>1885</v>
      </c>
      <c r="B385" s="26"/>
      <c r="C385" s="26" t="s">
        <v>1886</v>
      </c>
      <c r="D385" s="26"/>
      <c r="E385" s="26"/>
    </row>
    <row r="386" spans="1:5" s="16" customFormat="1" ht="12.95" customHeight="1">
      <c r="A386" s="26" t="s">
        <v>1887</v>
      </c>
      <c r="B386" s="26"/>
      <c r="C386" s="26" t="s">
        <v>1888</v>
      </c>
      <c r="D386" s="26"/>
      <c r="E386" s="26"/>
    </row>
    <row r="387" spans="1:5" s="16" customFormat="1" ht="12.95" customHeight="1">
      <c r="A387" s="26" t="s">
        <v>1889</v>
      </c>
      <c r="B387" s="26"/>
      <c r="C387" s="26" t="s">
        <v>1890</v>
      </c>
      <c r="D387" s="26"/>
      <c r="E387" s="26"/>
    </row>
    <row r="388" spans="1:5" s="16" customFormat="1" ht="12.95" customHeight="1">
      <c r="A388" s="26" t="s">
        <v>1891</v>
      </c>
      <c r="B388" s="26"/>
      <c r="C388" s="26" t="s">
        <v>1892</v>
      </c>
      <c r="D388" s="26"/>
      <c r="E388" s="26"/>
    </row>
    <row r="389" spans="1:5" s="16" customFormat="1" ht="26.1" customHeight="1">
      <c r="A389" s="26" t="s">
        <v>1893</v>
      </c>
      <c r="B389" s="26"/>
      <c r="C389" s="26" t="s">
        <v>1894</v>
      </c>
      <c r="D389" s="26"/>
      <c r="E389" s="26"/>
    </row>
    <row r="390" spans="1:5" s="16" customFormat="1" ht="12.95" customHeight="1">
      <c r="A390" s="26" t="s">
        <v>1895</v>
      </c>
      <c r="B390" s="26"/>
      <c r="C390" s="26" t="s">
        <v>1896</v>
      </c>
      <c r="D390" s="26"/>
      <c r="E390" s="26"/>
    </row>
    <row r="391" spans="1:5" s="16" customFormat="1" ht="12.95" customHeight="1">
      <c r="A391" s="26" t="s">
        <v>1897</v>
      </c>
      <c r="B391" s="26"/>
      <c r="C391" s="26" t="s">
        <v>1898</v>
      </c>
      <c r="D391" s="26"/>
      <c r="E391" s="26"/>
    </row>
    <row r="392" spans="1:5" s="16" customFormat="1" ht="12.95" customHeight="1">
      <c r="A392" s="26" t="s">
        <v>1899</v>
      </c>
      <c r="B392" s="26"/>
      <c r="C392" s="26" t="s">
        <v>1900</v>
      </c>
      <c r="D392" s="26"/>
      <c r="E392" s="26"/>
    </row>
    <row r="393" spans="1:5" s="16" customFormat="1" ht="12.95" customHeight="1">
      <c r="A393" s="26" t="s">
        <v>1901</v>
      </c>
      <c r="B393" s="26"/>
      <c r="C393" s="26" t="s">
        <v>1762</v>
      </c>
      <c r="D393" s="26"/>
      <c r="E393" s="26"/>
    </row>
    <row r="394" spans="1:5" s="16" customFormat="1" ht="12.95" customHeight="1">
      <c r="A394" s="26" t="s">
        <v>1902</v>
      </c>
      <c r="B394" s="26"/>
      <c r="C394" s="26" t="s">
        <v>1903</v>
      </c>
      <c r="D394" s="26"/>
      <c r="E394" s="26"/>
    </row>
    <row r="395" spans="1:5" s="16" customFormat="1" ht="12.95" customHeight="1">
      <c r="A395" s="26" t="s">
        <v>1904</v>
      </c>
      <c r="B395" s="26"/>
      <c r="C395" s="26" t="s">
        <v>1905</v>
      </c>
      <c r="D395" s="26"/>
      <c r="E395" s="26"/>
    </row>
    <row r="396" spans="1:5" s="16" customFormat="1" ht="12.95" customHeight="1">
      <c r="A396" s="26" t="s">
        <v>1906</v>
      </c>
      <c r="B396" s="26"/>
      <c r="C396" s="26" t="s">
        <v>1907</v>
      </c>
      <c r="D396" s="26"/>
      <c r="E396" s="26"/>
    </row>
    <row r="397" spans="1:5" s="16" customFormat="1" ht="12.95" customHeight="1">
      <c r="A397" s="26" t="s">
        <v>1908</v>
      </c>
      <c r="B397" s="26"/>
      <c r="C397" s="26" t="s">
        <v>1909</v>
      </c>
      <c r="D397" s="26"/>
      <c r="E397" s="26"/>
    </row>
    <row r="398" spans="1:5" s="16" customFormat="1" ht="12.95" customHeight="1">
      <c r="A398" s="26" t="s">
        <v>1910</v>
      </c>
      <c r="B398" s="26"/>
      <c r="C398" s="26" t="s">
        <v>1911</v>
      </c>
      <c r="D398" s="26"/>
      <c r="E398" s="26"/>
    </row>
    <row r="399" spans="1:5" s="16" customFormat="1" ht="12.95" customHeight="1">
      <c r="A399" s="26" t="s">
        <v>1912</v>
      </c>
      <c r="B399" s="26"/>
      <c r="C399" s="26" t="s">
        <v>1913</v>
      </c>
      <c r="D399" s="26"/>
      <c r="E399" s="26"/>
    </row>
    <row r="400" spans="1:5" s="16" customFormat="1" ht="12.95" customHeight="1">
      <c r="A400" s="26" t="s">
        <v>1914</v>
      </c>
      <c r="B400" s="26"/>
      <c r="C400" s="26" t="s">
        <v>1915</v>
      </c>
      <c r="D400" s="26"/>
      <c r="E400" s="26"/>
    </row>
    <row r="401" spans="1:5" s="16" customFormat="1" ht="12.95" customHeight="1">
      <c r="A401" s="26" t="s">
        <v>1916</v>
      </c>
      <c r="B401" s="26"/>
      <c r="C401" s="26" t="s">
        <v>1917</v>
      </c>
      <c r="D401" s="26"/>
      <c r="E401" s="26"/>
    </row>
    <row r="402" spans="1:5" s="16" customFormat="1" ht="12.95" customHeight="1">
      <c r="A402" s="26" t="s">
        <v>563</v>
      </c>
      <c r="B402" s="26"/>
      <c r="C402" s="26" t="s">
        <v>1918</v>
      </c>
      <c r="D402" s="26"/>
      <c r="E402" s="26"/>
    </row>
    <row r="403" spans="1:5" s="16" customFormat="1" ht="12.95" customHeight="1">
      <c r="A403" s="26" t="s">
        <v>1919</v>
      </c>
      <c r="B403" s="26"/>
      <c r="C403" s="26" t="s">
        <v>1920</v>
      </c>
      <c r="D403" s="26"/>
      <c r="E403" s="26"/>
    </row>
    <row r="404" spans="1:5" s="16" customFormat="1" ht="12.95" customHeight="1">
      <c r="A404" s="26" t="s">
        <v>1921</v>
      </c>
      <c r="B404" s="26"/>
      <c r="C404" s="26" t="s">
        <v>1922</v>
      </c>
      <c r="D404" s="26"/>
      <c r="E404" s="26"/>
    </row>
    <row r="405" spans="1:5" s="16" customFormat="1" ht="12.95" customHeight="1">
      <c r="A405" s="26" t="s">
        <v>1923</v>
      </c>
      <c r="B405" s="26"/>
      <c r="C405" s="26" t="s">
        <v>1924</v>
      </c>
      <c r="D405" s="26"/>
      <c r="E405" s="26"/>
    </row>
    <row r="406" spans="1:5" s="16" customFormat="1" ht="12.95" customHeight="1">
      <c r="A406" s="26" t="s">
        <v>1925</v>
      </c>
      <c r="B406" s="26"/>
      <c r="C406" s="26" t="s">
        <v>1926</v>
      </c>
      <c r="D406" s="26"/>
      <c r="E406" s="26"/>
    </row>
    <row r="407" spans="1:5" s="16" customFormat="1" ht="12.95" customHeight="1">
      <c r="A407" s="26" t="s">
        <v>1927</v>
      </c>
      <c r="B407" s="26"/>
      <c r="C407" s="26" t="s">
        <v>1928</v>
      </c>
      <c r="D407" s="26"/>
      <c r="E407" s="26"/>
    </row>
    <row r="408" spans="1:5" s="16" customFormat="1" ht="12.95" customHeight="1">
      <c r="A408" s="26" t="s">
        <v>1929</v>
      </c>
      <c r="B408" s="26"/>
      <c r="C408" s="26" t="s">
        <v>1930</v>
      </c>
      <c r="D408" s="26"/>
      <c r="E408" s="26"/>
    </row>
    <row r="409" spans="1:5" s="16" customFormat="1" ht="12.95" customHeight="1">
      <c r="A409" s="26" t="s">
        <v>1344</v>
      </c>
      <c r="B409" s="26"/>
      <c r="C409" s="26" t="s">
        <v>1931</v>
      </c>
      <c r="D409" s="26"/>
      <c r="E409" s="26"/>
    </row>
    <row r="410" spans="1:5" s="16" customFormat="1" ht="12.95" customHeight="1">
      <c r="A410" s="26" t="s">
        <v>1932</v>
      </c>
      <c r="B410" s="26"/>
      <c r="C410" s="26" t="s">
        <v>1922</v>
      </c>
      <c r="D410" s="26"/>
      <c r="E410" s="26"/>
    </row>
    <row r="411" spans="1:5" s="16" customFormat="1" ht="12.95" customHeight="1">
      <c r="A411" s="26" t="s">
        <v>1933</v>
      </c>
      <c r="B411" s="26"/>
      <c r="C411" s="26" t="s">
        <v>1924</v>
      </c>
      <c r="D411" s="26"/>
      <c r="E411" s="26"/>
    </row>
    <row r="412" spans="1:5" s="16" customFormat="1" ht="12.95" customHeight="1">
      <c r="A412" s="26" t="s">
        <v>1934</v>
      </c>
      <c r="B412" s="26"/>
      <c r="C412" s="26" t="s">
        <v>1928</v>
      </c>
      <c r="D412" s="26"/>
      <c r="E412" s="26"/>
    </row>
    <row r="413" spans="1:5" s="16" customFormat="1" ht="12.95" customHeight="1">
      <c r="A413" s="26" t="s">
        <v>1935</v>
      </c>
      <c r="B413" s="26"/>
      <c r="C413" s="26" t="s">
        <v>1930</v>
      </c>
      <c r="D413" s="26"/>
      <c r="E413" s="26"/>
    </row>
    <row r="414" spans="1:5" s="16" customFormat="1" ht="12.95" customHeight="1">
      <c r="A414" s="26" t="s">
        <v>1936</v>
      </c>
      <c r="B414" s="26"/>
      <c r="C414" s="26" t="s">
        <v>1931</v>
      </c>
      <c r="D414" s="26"/>
      <c r="E414" s="26"/>
    </row>
    <row r="415" spans="1:5" s="16" customFormat="1" ht="12.95" customHeight="1">
      <c r="A415" s="26" t="s">
        <v>1937</v>
      </c>
      <c r="B415" s="26"/>
      <c r="C415" s="26" t="s">
        <v>1938</v>
      </c>
      <c r="D415" s="26"/>
      <c r="E415" s="26"/>
    </row>
    <row r="416" spans="1:5" s="16" customFormat="1" ht="12.95" customHeight="1">
      <c r="A416" s="26" t="s">
        <v>1939</v>
      </c>
      <c r="B416" s="26"/>
      <c r="C416" s="26" t="s">
        <v>1940</v>
      </c>
      <c r="D416" s="26"/>
      <c r="E416" s="26"/>
    </row>
    <row r="417" spans="1:5" s="16" customFormat="1" ht="12.95" customHeight="1">
      <c r="A417" s="26" t="s">
        <v>1941</v>
      </c>
      <c r="B417" s="26"/>
      <c r="C417" s="26" t="s">
        <v>1942</v>
      </c>
      <c r="D417" s="26"/>
      <c r="E417" s="26"/>
    </row>
    <row r="418" spans="1:5" s="16" customFormat="1" ht="12.95" customHeight="1">
      <c r="A418" s="26" t="s">
        <v>1943</v>
      </c>
      <c r="B418" s="26"/>
      <c r="C418" s="26" t="s">
        <v>1944</v>
      </c>
      <c r="D418" s="26"/>
      <c r="E418" s="26"/>
    </row>
    <row r="419" spans="1:5" s="16" customFormat="1" ht="12.95" customHeight="1">
      <c r="A419" s="26" t="s">
        <v>1945</v>
      </c>
      <c r="B419" s="26"/>
      <c r="C419" s="26" t="s">
        <v>1946</v>
      </c>
      <c r="D419" s="26"/>
      <c r="E419" s="26"/>
    </row>
    <row r="420" spans="1:5" s="16" customFormat="1" ht="12.95" customHeight="1">
      <c r="A420" s="26" t="s">
        <v>1947</v>
      </c>
      <c r="B420" s="26"/>
      <c r="C420" s="26" t="s">
        <v>1948</v>
      </c>
      <c r="D420" s="26"/>
      <c r="E420" s="26"/>
    </row>
    <row r="421" spans="1:5" s="16" customFormat="1" ht="12.95" customHeight="1">
      <c r="A421" s="26" t="s">
        <v>1949</v>
      </c>
      <c r="B421" s="26"/>
      <c r="C421" s="26" t="s">
        <v>1950</v>
      </c>
      <c r="D421" s="26"/>
      <c r="E421" s="26"/>
    </row>
    <row r="422" spans="1:5" s="16" customFormat="1" ht="12.95" customHeight="1">
      <c r="A422" s="26" t="s">
        <v>1631</v>
      </c>
      <c r="B422" s="26"/>
      <c r="C422" s="26" t="s">
        <v>1951</v>
      </c>
      <c r="D422" s="26"/>
      <c r="E422" s="26"/>
    </row>
    <row r="423" spans="1:5" s="16" customFormat="1" ht="12.95" customHeight="1">
      <c r="A423" s="26" t="s">
        <v>1952</v>
      </c>
      <c r="B423" s="26"/>
      <c r="C423" s="26" t="s">
        <v>1953</v>
      </c>
      <c r="D423" s="26"/>
      <c r="E423" s="26"/>
    </row>
    <row r="424" spans="1:5" s="16" customFormat="1" ht="12.95" customHeight="1">
      <c r="A424" s="26" t="s">
        <v>1954</v>
      </c>
      <c r="B424" s="26"/>
      <c r="C424" s="26" t="s">
        <v>1955</v>
      </c>
      <c r="D424" s="26"/>
      <c r="E424" s="26"/>
    </row>
    <row r="425" spans="1:5" s="16" customFormat="1" ht="12.95" customHeight="1">
      <c r="A425" s="26" t="s">
        <v>1956</v>
      </c>
      <c r="B425" s="26"/>
      <c r="C425" s="26" t="s">
        <v>1957</v>
      </c>
      <c r="D425" s="26"/>
      <c r="E425" s="26"/>
    </row>
    <row r="426" spans="1:5" s="16" customFormat="1" ht="12.95" customHeight="1">
      <c r="A426" s="26" t="s">
        <v>1958</v>
      </c>
      <c r="B426" s="26"/>
      <c r="C426" s="26" t="s">
        <v>1951</v>
      </c>
      <c r="D426" s="26"/>
      <c r="E426" s="26"/>
    </row>
    <row r="427" spans="1:5" s="16" customFormat="1" ht="12.95" customHeight="1">
      <c r="A427" s="26" t="s">
        <v>1959</v>
      </c>
      <c r="B427" s="26"/>
      <c r="C427" s="26" t="s">
        <v>1953</v>
      </c>
      <c r="D427" s="26"/>
      <c r="E427" s="26"/>
    </row>
    <row r="428" spans="1:5" s="16" customFormat="1" ht="12.95" customHeight="1">
      <c r="A428" s="26" t="s">
        <v>1960</v>
      </c>
      <c r="B428" s="26"/>
      <c r="C428" s="26" t="s">
        <v>1955</v>
      </c>
      <c r="D428" s="26"/>
      <c r="E428" s="26"/>
    </row>
    <row r="429" spans="1:5" s="16" customFormat="1" ht="12.95" customHeight="1">
      <c r="A429" s="26" t="s">
        <v>1961</v>
      </c>
      <c r="B429" s="26"/>
      <c r="C429" s="26" t="s">
        <v>1951</v>
      </c>
      <c r="D429" s="26"/>
      <c r="E429" s="26"/>
    </row>
    <row r="430" spans="1:5" s="16" customFormat="1" ht="12.95" customHeight="1">
      <c r="A430" s="26" t="s">
        <v>1962</v>
      </c>
      <c r="B430" s="26"/>
      <c r="C430" s="26" t="s">
        <v>1963</v>
      </c>
      <c r="D430" s="26"/>
      <c r="E430" s="26"/>
    </row>
    <row r="431" spans="1:5" s="16" customFormat="1" ht="12.95" customHeight="1">
      <c r="A431" s="26" t="s">
        <v>1964</v>
      </c>
      <c r="B431" s="26"/>
      <c r="C431" s="26" t="s">
        <v>1965</v>
      </c>
      <c r="D431" s="26"/>
      <c r="E431" s="26"/>
    </row>
    <row r="432" spans="1:5" s="16" customFormat="1" ht="12.95" customHeight="1">
      <c r="A432" s="26" t="s">
        <v>1966</v>
      </c>
      <c r="B432" s="26"/>
      <c r="C432" s="26" t="s">
        <v>1967</v>
      </c>
      <c r="D432" s="26"/>
      <c r="E432" s="26"/>
    </row>
    <row r="433" spans="1:5" s="16" customFormat="1" ht="12.95" customHeight="1">
      <c r="A433" s="26" t="s">
        <v>1968</v>
      </c>
      <c r="B433" s="26"/>
      <c r="C433" s="26" t="s">
        <v>1969</v>
      </c>
      <c r="D433" s="26"/>
      <c r="E433" s="26"/>
    </row>
    <row r="434" spans="1:5" s="16" customFormat="1" ht="12.95" customHeight="1">
      <c r="A434" s="26" t="s">
        <v>1970</v>
      </c>
      <c r="B434" s="26"/>
      <c r="C434" s="26" t="s">
        <v>1971</v>
      </c>
      <c r="D434" s="26"/>
      <c r="E434" s="26"/>
    </row>
    <row r="435" spans="1:5" s="16" customFormat="1" ht="12.95" customHeight="1">
      <c r="A435" s="26" t="s">
        <v>1972</v>
      </c>
      <c r="B435" s="26"/>
      <c r="C435" s="26" t="s">
        <v>1973</v>
      </c>
      <c r="D435" s="26"/>
      <c r="E435" s="26"/>
    </row>
    <row r="436" spans="1:5" s="16" customFormat="1" ht="12.95" customHeight="1">
      <c r="A436" s="26" t="s">
        <v>1974</v>
      </c>
      <c r="B436" s="26"/>
      <c r="C436" s="26" t="s">
        <v>1973</v>
      </c>
      <c r="D436" s="26"/>
      <c r="E436" s="26"/>
    </row>
    <row r="437" spans="1:5" s="16" customFormat="1" ht="12.95" customHeight="1">
      <c r="A437" s="26" t="s">
        <v>1975</v>
      </c>
      <c r="B437" s="26"/>
      <c r="C437" s="26" t="s">
        <v>1976</v>
      </c>
      <c r="D437" s="26"/>
      <c r="E437" s="26"/>
    </row>
    <row r="438" spans="1:5" s="16" customFormat="1" ht="12.95" customHeight="1">
      <c r="A438" s="26" t="s">
        <v>1977</v>
      </c>
      <c r="B438" s="26"/>
      <c r="C438" s="26" t="s">
        <v>1978</v>
      </c>
      <c r="D438" s="26"/>
      <c r="E438" s="26"/>
    </row>
    <row r="439" spans="1:5" s="16" customFormat="1" ht="12.95" customHeight="1">
      <c r="A439" s="26" t="s">
        <v>1979</v>
      </c>
      <c r="B439" s="26"/>
      <c r="C439" s="26" t="s">
        <v>1980</v>
      </c>
      <c r="D439" s="26"/>
      <c r="E439" s="26"/>
    </row>
    <row r="440" spans="1:5" s="16" customFormat="1" ht="12.95" customHeight="1">
      <c r="A440" s="26" t="s">
        <v>1981</v>
      </c>
      <c r="B440" s="26"/>
      <c r="C440" s="26" t="s">
        <v>1982</v>
      </c>
      <c r="D440" s="26"/>
      <c r="E440" s="26"/>
    </row>
    <row r="441" spans="1:5" s="16" customFormat="1" ht="12.95" customHeight="1">
      <c r="A441" s="26" t="s">
        <v>1983</v>
      </c>
      <c r="B441" s="26"/>
      <c r="C441" s="26" t="s">
        <v>1984</v>
      </c>
      <c r="D441" s="26"/>
      <c r="E441" s="26"/>
    </row>
    <row r="442" spans="1:5" s="16" customFormat="1" ht="12.95" customHeight="1">
      <c r="A442" s="26" t="s">
        <v>1985</v>
      </c>
      <c r="B442" s="26"/>
      <c r="C442" s="26" t="s">
        <v>1986</v>
      </c>
      <c r="D442" s="26"/>
      <c r="E442" s="26"/>
    </row>
    <row r="443" spans="1:5" s="16" customFormat="1" ht="12.95" customHeight="1">
      <c r="A443" s="26" t="s">
        <v>1987</v>
      </c>
      <c r="B443" s="26"/>
      <c r="C443" s="26" t="s">
        <v>1984</v>
      </c>
      <c r="D443" s="26"/>
      <c r="E443" s="26"/>
    </row>
    <row r="444" spans="1:5" s="16" customFormat="1" ht="12.95" customHeight="1">
      <c r="A444" s="26" t="s">
        <v>1988</v>
      </c>
      <c r="B444" s="26"/>
      <c r="C444" s="26" t="s">
        <v>1986</v>
      </c>
      <c r="D444" s="26"/>
      <c r="E444" s="26"/>
    </row>
    <row r="445" spans="1:5" s="16" customFormat="1" ht="12.95" customHeight="1">
      <c r="A445" s="26" t="s">
        <v>1989</v>
      </c>
      <c r="B445" s="26"/>
      <c r="C445" s="26" t="s">
        <v>1990</v>
      </c>
      <c r="D445" s="26"/>
      <c r="E445" s="26"/>
    </row>
    <row r="446" spans="1:5" s="16" customFormat="1" ht="12.95" customHeight="1">
      <c r="A446" s="26" t="s">
        <v>1991</v>
      </c>
      <c r="B446" s="26"/>
      <c r="C446" s="26" t="s">
        <v>1992</v>
      </c>
      <c r="D446" s="26"/>
      <c r="E446" s="26"/>
    </row>
    <row r="447" spans="1:5" s="16" customFormat="1" ht="12.95" customHeight="1">
      <c r="A447" s="26" t="s">
        <v>1993</v>
      </c>
      <c r="B447" s="26"/>
      <c r="C447" s="26" t="s">
        <v>1992</v>
      </c>
      <c r="D447" s="26"/>
      <c r="E447" s="26"/>
    </row>
    <row r="448" spans="1:5" s="16" customFormat="1" ht="12.95" customHeight="1">
      <c r="A448" s="26" t="s">
        <v>1994</v>
      </c>
      <c r="B448" s="26"/>
      <c r="C448" s="26" t="s">
        <v>1995</v>
      </c>
      <c r="D448" s="26"/>
      <c r="E448" s="26"/>
    </row>
    <row r="449" spans="1:5" s="16" customFormat="1" ht="12.95" customHeight="1">
      <c r="A449" s="26" t="s">
        <v>1996</v>
      </c>
      <c r="B449" s="26"/>
      <c r="C449" s="26" t="s">
        <v>1997</v>
      </c>
      <c r="D449" s="26"/>
      <c r="E449" s="26"/>
    </row>
    <row r="450" spans="1:5" s="16" customFormat="1" ht="12.95" customHeight="1">
      <c r="A450" s="26" t="s">
        <v>1998</v>
      </c>
      <c r="B450" s="26"/>
      <c r="C450" s="26" t="s">
        <v>1999</v>
      </c>
      <c r="D450" s="26"/>
      <c r="E450" s="26"/>
    </row>
    <row r="451" spans="1:5" s="16" customFormat="1" ht="12.95" customHeight="1">
      <c r="A451" s="26" t="s">
        <v>2000</v>
      </c>
      <c r="B451" s="26"/>
      <c r="C451" s="26" t="s">
        <v>1999</v>
      </c>
      <c r="D451" s="26"/>
      <c r="E451" s="26"/>
    </row>
    <row r="452" spans="1:5" s="16" customFormat="1" ht="12.95" customHeight="1">
      <c r="A452" s="26" t="s">
        <v>2001</v>
      </c>
      <c r="B452" s="26"/>
      <c r="C452" s="26" t="s">
        <v>2002</v>
      </c>
      <c r="D452" s="26"/>
      <c r="E452" s="26"/>
    </row>
    <row r="453" spans="1:5" s="16" customFormat="1" ht="12.95" customHeight="1">
      <c r="A453" s="26" t="s">
        <v>2003</v>
      </c>
      <c r="B453" s="26"/>
      <c r="C453" s="26" t="s">
        <v>2004</v>
      </c>
      <c r="D453" s="26"/>
      <c r="E453" s="26"/>
    </row>
    <row r="454" spans="1:5" s="16" customFormat="1" ht="12.95" customHeight="1">
      <c r="A454" s="26" t="s">
        <v>2005</v>
      </c>
      <c r="B454" s="26"/>
      <c r="C454" s="26" t="s">
        <v>2006</v>
      </c>
      <c r="D454" s="26"/>
      <c r="E454" s="26"/>
    </row>
    <row r="455" spans="1:5" s="16" customFormat="1" ht="12.95" customHeight="1">
      <c r="A455" s="26" t="s">
        <v>2007</v>
      </c>
      <c r="B455" s="26"/>
      <c r="C455" s="26" t="s">
        <v>2008</v>
      </c>
      <c r="D455" s="26"/>
      <c r="E455" s="26"/>
    </row>
    <row r="456" spans="1:5" s="16" customFormat="1" ht="12.95" customHeight="1">
      <c r="A456" s="26" t="s">
        <v>2009</v>
      </c>
      <c r="B456" s="26"/>
      <c r="C456" s="26" t="s">
        <v>2006</v>
      </c>
      <c r="D456" s="26"/>
      <c r="E456" s="26"/>
    </row>
    <row r="457" spans="1:5" s="16" customFormat="1" ht="12.95" customHeight="1">
      <c r="A457" s="26" t="s">
        <v>2010</v>
      </c>
      <c r="B457" s="26"/>
      <c r="C457" s="26" t="s">
        <v>2011</v>
      </c>
      <c r="D457" s="26"/>
      <c r="E457" s="26"/>
    </row>
  </sheetData>
  <mergeCells count="399"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1:E1"/>
    <mergeCell ref="F1:I5"/>
    <mergeCell ref="J1:O1"/>
    <mergeCell ref="A2:E2"/>
    <mergeCell ref="J2:O5"/>
    <mergeCell ref="A3:E3"/>
    <mergeCell ref="A4:E4"/>
    <mergeCell ref="A5:E5"/>
    <mergeCell ref="A261:B26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2024-05-13T19:55:45Z</dcterms:modified>
</cp:coreProperties>
</file>